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253ccc78c5345ae/Documents/ILRU/policies/"/>
    </mc:Choice>
  </mc:AlternateContent>
  <xr:revisionPtr revIDLastSave="0" documentId="8_{BE6342DF-2C66-4C31-A4A5-3E4CFBA2094E}" xr6:coauthVersionLast="45" xr6:coauthVersionMax="45" xr10:uidLastSave="{00000000-0000-0000-0000-000000000000}"/>
  <bookViews>
    <workbookView xWindow="1170" yWindow="1230" windowWidth="17985" windowHeight="14970" activeTab="4" xr2:uid="{4BB24549-321E-4724-8190-19E85F9942DF}"/>
  </bookViews>
  <sheets>
    <sheet name="Instructions" sheetId="1" r:id="rId1"/>
    <sheet name="A. Budget" sheetId="2" r:id="rId2"/>
    <sheet name="B. Personnel Allocation" sheetId="3" r:id="rId3"/>
    <sheet name="C. Salary Allocation" sheetId="5" r:id="rId4"/>
    <sheet name="D. Fringe Allocation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2" l="1"/>
  <c r="F3" i="2"/>
  <c r="F8" i="2"/>
  <c r="B55" i="2"/>
  <c r="B56" i="2"/>
  <c r="B57" i="2"/>
  <c r="B58" i="2"/>
  <c r="B59" i="2"/>
  <c r="B54" i="2"/>
  <c r="D60" i="2"/>
  <c r="E60" i="2"/>
  <c r="F60" i="2"/>
  <c r="C60" i="2"/>
  <c r="B44" i="2"/>
  <c r="B45" i="2"/>
  <c r="B46" i="2"/>
  <c r="B47" i="2"/>
  <c r="B48" i="2"/>
  <c r="B49" i="2"/>
  <c r="B50" i="2"/>
  <c r="C37" i="2"/>
  <c r="B37" i="2" s="1"/>
  <c r="B33" i="2"/>
  <c r="B34" i="2"/>
  <c r="B36" i="2"/>
  <c r="B38" i="2"/>
  <c r="B39" i="2"/>
  <c r="B32" i="2"/>
  <c r="C35" i="2"/>
  <c r="D35" i="2"/>
  <c r="D40" i="2" s="1"/>
  <c r="E35" i="2"/>
  <c r="E40" i="2" s="1"/>
  <c r="F35" i="2"/>
  <c r="C29" i="2"/>
  <c r="D29" i="2"/>
  <c r="E29" i="2"/>
  <c r="F29" i="2"/>
  <c r="B25" i="2"/>
  <c r="B26" i="2"/>
  <c r="B27" i="2"/>
  <c r="B28" i="2"/>
  <c r="B24" i="2"/>
  <c r="C21" i="2"/>
  <c r="D21" i="2"/>
  <c r="E21" i="2"/>
  <c r="F21" i="2"/>
  <c r="B18" i="2"/>
  <c r="B19" i="2"/>
  <c r="B20" i="2"/>
  <c r="B17" i="2"/>
  <c r="C9" i="5"/>
  <c r="J3" i="4"/>
  <c r="J4" i="4"/>
  <c r="J5" i="4"/>
  <c r="J6" i="4"/>
  <c r="J7" i="4"/>
  <c r="J8" i="4"/>
  <c r="J2" i="4"/>
  <c r="F2" i="4"/>
  <c r="E2" i="4"/>
  <c r="F2" i="3"/>
  <c r="H2" i="3"/>
  <c r="F3" i="3"/>
  <c r="G4" i="3"/>
  <c r="F6" i="3"/>
  <c r="E6" i="3" s="1"/>
  <c r="E10" i="3"/>
  <c r="E11" i="3"/>
  <c r="E12" i="3"/>
  <c r="D13" i="3"/>
  <c r="E14" i="5" s="1"/>
  <c r="E13" i="3"/>
  <c r="E11" i="5"/>
  <c r="F11" i="5"/>
  <c r="G11" i="5"/>
  <c r="H11" i="5"/>
  <c r="E12" i="5"/>
  <c r="F12" i="5"/>
  <c r="G12" i="5"/>
  <c r="H12" i="5"/>
  <c r="E13" i="5"/>
  <c r="F13" i="5"/>
  <c r="G13" i="5"/>
  <c r="H13" i="5"/>
  <c r="E4" i="3"/>
  <c r="D4" i="3" s="1"/>
  <c r="E4" i="5" s="1"/>
  <c r="E3" i="3"/>
  <c r="D3" i="3" s="1"/>
  <c r="H3" i="5" s="1"/>
  <c r="E5" i="3"/>
  <c r="D5" i="3" s="1"/>
  <c r="F5" i="5" s="1"/>
  <c r="E7" i="3"/>
  <c r="D7" i="3" s="1"/>
  <c r="E7" i="5" s="1"/>
  <c r="E8" i="3"/>
  <c r="D8" i="3" s="1"/>
  <c r="E8" i="5" s="1"/>
  <c r="B3" i="2"/>
  <c r="B5" i="2"/>
  <c r="B6" i="2"/>
  <c r="B7" i="2"/>
  <c r="B2" i="2"/>
  <c r="C8" i="2"/>
  <c r="D8" i="2"/>
  <c r="C13" i="5" l="1"/>
  <c r="J12" i="4" s="1"/>
  <c r="K12" i="4" s="1"/>
  <c r="C12" i="5"/>
  <c r="J11" i="4" s="1"/>
  <c r="K11" i="4" s="1"/>
  <c r="D6" i="3"/>
  <c r="E6" i="5" s="1"/>
  <c r="D6" i="5"/>
  <c r="I6" i="4" s="1"/>
  <c r="K6" i="4" s="1"/>
  <c r="E15" i="5"/>
  <c r="D3" i="5"/>
  <c r="I3" i="4" s="1"/>
  <c r="K3" i="4" s="1"/>
  <c r="H14" i="5"/>
  <c r="H15" i="5" s="1"/>
  <c r="D8" i="5"/>
  <c r="I8" i="4" s="1"/>
  <c r="K8" i="4" s="1"/>
  <c r="G14" i="5"/>
  <c r="G15" i="5" s="1"/>
  <c r="D7" i="5"/>
  <c r="I7" i="4" s="1"/>
  <c r="K7" i="4" s="1"/>
  <c r="D5" i="5"/>
  <c r="I5" i="4" s="1"/>
  <c r="K5" i="4" s="1"/>
  <c r="D4" i="5"/>
  <c r="I4" i="4" s="1"/>
  <c r="K4" i="4" s="1"/>
  <c r="F14" i="5"/>
  <c r="C11" i="5"/>
  <c r="C40" i="2"/>
  <c r="B60" i="2"/>
  <c r="B29" i="2"/>
  <c r="E8" i="2"/>
  <c r="B35" i="2"/>
  <c r="B40" i="2" s="1"/>
  <c r="F40" i="2"/>
  <c r="B21" i="2"/>
  <c r="G3" i="5"/>
  <c r="H7" i="5"/>
  <c r="F3" i="5"/>
  <c r="G5" i="5"/>
  <c r="G7" i="5"/>
  <c r="F7" i="5"/>
  <c r="E3" i="5"/>
  <c r="H5" i="5"/>
  <c r="E5" i="5"/>
  <c r="G8" i="5"/>
  <c r="G4" i="5"/>
  <c r="H8" i="5"/>
  <c r="H4" i="5"/>
  <c r="F6" i="5"/>
  <c r="N6" i="4" s="1"/>
  <c r="F4" i="5"/>
  <c r="F8" i="5"/>
  <c r="E2" i="3"/>
  <c r="B8" i="2"/>
  <c r="C14" i="5" l="1"/>
  <c r="J13" i="4" s="1"/>
  <c r="K13" i="4" s="1"/>
  <c r="J10" i="4"/>
  <c r="K10" i="4" s="1"/>
  <c r="H6" i="5"/>
  <c r="F15" i="5"/>
  <c r="D2" i="3"/>
  <c r="D2" i="5"/>
  <c r="G6" i="5"/>
  <c r="E2" i="5"/>
  <c r="F2" i="5"/>
  <c r="G2" i="5"/>
  <c r="H2" i="5"/>
  <c r="C15" i="5" l="1"/>
  <c r="B16" i="4" s="1"/>
  <c r="I2" i="4"/>
  <c r="K2" i="4" s="1"/>
  <c r="B15" i="4" s="1"/>
  <c r="P7" i="4" s="1"/>
  <c r="D9" i="5"/>
  <c r="P4" i="4"/>
  <c r="N7" i="4"/>
  <c r="N5" i="4"/>
  <c r="E9" i="5"/>
  <c r="H9" i="5"/>
  <c r="G9" i="5"/>
  <c r="F9" i="5"/>
  <c r="M3" i="4" l="1"/>
  <c r="N8" i="4"/>
  <c r="O4" i="4"/>
  <c r="M4" i="4"/>
  <c r="P3" i="4"/>
  <c r="M5" i="4"/>
  <c r="P2" i="4"/>
  <c r="M8" i="4"/>
  <c r="O2" i="4"/>
  <c r="O5" i="4"/>
  <c r="N2" i="4"/>
  <c r="P8" i="4"/>
  <c r="M6" i="4"/>
  <c r="N4" i="4"/>
  <c r="M7" i="4"/>
  <c r="O6" i="4"/>
  <c r="N3" i="4"/>
  <c r="O8" i="4"/>
  <c r="P6" i="4"/>
  <c r="M2" i="4"/>
  <c r="O7" i="4"/>
  <c r="O3" i="4"/>
  <c r="P5" i="4"/>
  <c r="N11" i="4"/>
  <c r="M13" i="4"/>
  <c r="M12" i="4"/>
  <c r="N13" i="4"/>
  <c r="O13" i="4"/>
  <c r="O11" i="4"/>
  <c r="P12" i="4"/>
  <c r="P10" i="4"/>
  <c r="N10" i="4"/>
  <c r="O10" i="4"/>
  <c r="M11" i="4"/>
  <c r="M10" i="4"/>
  <c r="N12" i="4"/>
  <c r="O12" i="4"/>
  <c r="P11" i="4"/>
  <c r="P13" i="4"/>
  <c r="F16" i="5"/>
  <c r="D12" i="2" s="1"/>
  <c r="G16" i="5"/>
  <c r="E12" i="2" s="1"/>
  <c r="H16" i="5"/>
  <c r="F12" i="2" s="1"/>
  <c r="E16" i="5"/>
  <c r="C12" i="2" s="1"/>
  <c r="N14" i="4" l="1"/>
  <c r="D13" i="2" s="1"/>
  <c r="M14" i="4"/>
  <c r="C13" i="2" s="1"/>
  <c r="P14" i="4"/>
  <c r="F13" i="2" s="1"/>
  <c r="F14" i="2" s="1"/>
  <c r="F43" i="2" s="1"/>
  <c r="F51" i="2" s="1"/>
  <c r="F62" i="2" s="1"/>
  <c r="F63" i="2" s="1"/>
  <c r="O14" i="4"/>
  <c r="E13" i="2" s="1"/>
  <c r="E14" i="2" s="1"/>
  <c r="E43" i="2" s="1"/>
  <c r="E51" i="2" s="1"/>
  <c r="E62" i="2" s="1"/>
  <c r="E63" i="2" s="1"/>
  <c r="D14" i="2"/>
  <c r="D43" i="2" s="1"/>
  <c r="D51" i="2" s="1"/>
  <c r="D62" i="2" s="1"/>
  <c r="D63" i="2" s="1"/>
  <c r="B12" i="2"/>
  <c r="B13" i="2" l="1"/>
  <c r="B14" i="2" s="1"/>
  <c r="C14" i="2"/>
  <c r="C43" i="2" s="1"/>
  <c r="B43" i="2" l="1"/>
  <c r="B51" i="2" s="1"/>
  <c r="B62" i="2" s="1"/>
  <c r="B63" i="2" s="1"/>
  <c r="C51" i="2"/>
  <c r="C62" i="2" s="1"/>
  <c r="C63" i="2" s="1"/>
</calcChain>
</file>

<file path=xl/sharedStrings.xml><?xml version="1.0" encoding="utf-8"?>
<sst xmlns="http://schemas.openxmlformats.org/spreadsheetml/2006/main" count="144" uniqueCount="101">
  <si>
    <t>Total FY(Year) Budget</t>
  </si>
  <si>
    <t>Subchapter B</t>
  </si>
  <si>
    <t>Subchapter C</t>
  </si>
  <si>
    <t>Funding Stream 4</t>
  </si>
  <si>
    <t>INCOME</t>
  </si>
  <si>
    <t>Federal Programs</t>
  </si>
  <si>
    <t>Grants</t>
  </si>
  <si>
    <t>Program Fees</t>
  </si>
  <si>
    <t>Investments</t>
  </si>
  <si>
    <t>Special Events</t>
  </si>
  <si>
    <t>Fundraising</t>
  </si>
  <si>
    <t>Miscellaneous</t>
  </si>
  <si>
    <t>Total Income</t>
  </si>
  <si>
    <t>EXPENSES</t>
  </si>
  <si>
    <t>Salaries/Wages</t>
  </si>
  <si>
    <t>Fringe</t>
  </si>
  <si>
    <t>Total Personnel</t>
  </si>
  <si>
    <t>Consultants</t>
  </si>
  <si>
    <t>Interpreting Services</t>
  </si>
  <si>
    <t>Alternative Formats</t>
  </si>
  <si>
    <t>Total Professional Fees</t>
  </si>
  <si>
    <t>Lodging, Flight &amp; Transportation</t>
  </si>
  <si>
    <t>Per Diems</t>
  </si>
  <si>
    <t>Professional Development</t>
  </si>
  <si>
    <t>Program Mileage</t>
  </si>
  <si>
    <t>Vendor Outreach</t>
  </si>
  <si>
    <t>Total Travel &amp; Meeting Expenses</t>
  </si>
  <si>
    <t>Program Supplies</t>
  </si>
  <si>
    <t>Printing/Copying</t>
  </si>
  <si>
    <t>Database Systems</t>
  </si>
  <si>
    <t>Computer Purchases</t>
  </si>
  <si>
    <t>Postage/Shipping</t>
  </si>
  <si>
    <t>Total Operating Expenses</t>
  </si>
  <si>
    <t>Membership Dues/Fees</t>
  </si>
  <si>
    <t>Staff Accommodations</t>
  </si>
  <si>
    <t>Other Expenses</t>
  </si>
  <si>
    <t>Legislative &amp; General Counsel Services</t>
  </si>
  <si>
    <t>Public Relations</t>
  </si>
  <si>
    <t>Consumer Support</t>
  </si>
  <si>
    <t>Total MISC. Expenses</t>
  </si>
  <si>
    <t>Occupancy</t>
  </si>
  <si>
    <t>Janitorial Services</t>
  </si>
  <si>
    <t>Office Maintenance</t>
  </si>
  <si>
    <t>Technical Support</t>
  </si>
  <si>
    <t>Telecommunication</t>
  </si>
  <si>
    <t>Office Supplies</t>
  </si>
  <si>
    <t>Auto Insurance</t>
  </si>
  <si>
    <t>Bank &amp; Investment Fees</t>
  </si>
  <si>
    <t>D&amp;O Insurance</t>
  </si>
  <si>
    <t>Business/Workers Compensation</t>
  </si>
  <si>
    <t>Total Indirect Expenses</t>
  </si>
  <si>
    <t>Total Costs</t>
  </si>
  <si>
    <t>Total Net</t>
  </si>
  <si>
    <t>PERSONNEL</t>
  </si>
  <si>
    <t>PROFESSIONAL FEES</t>
  </si>
  <si>
    <t>TRAVEL &amp; MEETING EXPENSES</t>
  </si>
  <si>
    <t>OPERATING EXPENSES</t>
  </si>
  <si>
    <t>MISC. EXPENSES</t>
  </si>
  <si>
    <t>INDIRECT EXPENSES</t>
  </si>
  <si>
    <t>Accounting Services</t>
  </si>
  <si>
    <t>Unrestricted Funds</t>
  </si>
  <si>
    <t>Executive Director</t>
  </si>
  <si>
    <t>Assistant Director</t>
  </si>
  <si>
    <t>Finance Director</t>
  </si>
  <si>
    <t>Independent Living Specialist</t>
  </si>
  <si>
    <t>Director of Development</t>
  </si>
  <si>
    <t>Full-Time Personnel</t>
  </si>
  <si>
    <t>Employee</t>
  </si>
  <si>
    <t>Salary/Rate</t>
  </si>
  <si>
    <t>Total Hours</t>
  </si>
  <si>
    <t>Rate</t>
  </si>
  <si>
    <t>Unrestricted Time</t>
  </si>
  <si>
    <t>Program Coordinator</t>
  </si>
  <si>
    <t>Part-Time Personnel</t>
  </si>
  <si>
    <t>Information &amp; Referall Specialist</t>
  </si>
  <si>
    <t>Administrative Assistant</t>
  </si>
  <si>
    <t>Program Assistant</t>
  </si>
  <si>
    <t>Total</t>
  </si>
  <si>
    <t>Totals</t>
  </si>
  <si>
    <t>Medical Insurance</t>
  </si>
  <si>
    <t>Life Insurance</t>
  </si>
  <si>
    <t>Dental Insurance</t>
  </si>
  <si>
    <t>Vision Insurance</t>
  </si>
  <si>
    <t>AD&amp;D Insurance</t>
  </si>
  <si>
    <t>STD Insurance</t>
  </si>
  <si>
    <t>IRA Match</t>
  </si>
  <si>
    <t>Employer Taxes</t>
  </si>
  <si>
    <t>Total Full-Time Personnel</t>
  </si>
  <si>
    <t>Total Part-Time Personnel</t>
  </si>
  <si>
    <t>Salary</t>
  </si>
  <si>
    <t>FT Fringe Rate</t>
  </si>
  <si>
    <t>PT Fringe Rate</t>
  </si>
  <si>
    <t>Unrestricted</t>
  </si>
  <si>
    <t xml:space="preserve">1. The process of building a budget is a planning process for your Center for Independent Living. This  budget template is developed as a guidline to show how funding will be allocated between your programs. </t>
  </si>
  <si>
    <t>2. This template is divided into four areas, which include:</t>
  </si>
  <si>
    <r>
      <rPr>
        <b/>
        <sz val="11"/>
        <color theme="1"/>
        <rFont val="Calibri"/>
        <family val="2"/>
        <scheme val="minor"/>
      </rPr>
      <t>A.</t>
    </r>
    <r>
      <rPr>
        <sz val="11"/>
        <color theme="1"/>
        <rFont val="Calibri"/>
        <family val="2"/>
        <scheme val="minor"/>
      </rPr>
      <t xml:space="preserve"> Budget - This tab is the overall template budget. This includes data you input for expenses, as well as personnel, salary, and fringe allocation from the other sections.</t>
    </r>
  </si>
  <si>
    <r>
      <rPr>
        <b/>
        <sz val="11"/>
        <color theme="1"/>
        <rFont val="Calibri"/>
        <family val="2"/>
        <scheme val="minor"/>
      </rPr>
      <t xml:space="preserve">B. </t>
    </r>
    <r>
      <rPr>
        <sz val="11"/>
        <color theme="1"/>
        <rFont val="Calibri"/>
        <family val="2"/>
        <scheme val="minor"/>
      </rPr>
      <t>Personnel Allocation - Allows you to allocate hours for each program.</t>
    </r>
  </si>
  <si>
    <r>
      <rPr>
        <b/>
        <sz val="11"/>
        <color theme="1"/>
        <rFont val="Calibri"/>
        <family val="2"/>
        <scheme val="minor"/>
      </rPr>
      <t xml:space="preserve">C. </t>
    </r>
    <r>
      <rPr>
        <sz val="11"/>
        <color theme="1"/>
        <rFont val="Calibri"/>
        <family val="2"/>
        <scheme val="minor"/>
      </rPr>
      <t>Salary Allocation - Shows you the calculation for each program based on the personnel allocation.</t>
    </r>
  </si>
  <si>
    <r>
      <rPr>
        <b/>
        <sz val="11"/>
        <color theme="1"/>
        <rFont val="Calibri"/>
        <family val="2"/>
        <scheme val="minor"/>
      </rPr>
      <t xml:space="preserve">D. </t>
    </r>
    <r>
      <rPr>
        <sz val="11"/>
        <color theme="1"/>
        <rFont val="Calibri"/>
        <family val="2"/>
        <scheme val="minor"/>
      </rPr>
      <t>Fringe Allocation - Allows you to input data for fringe benefits to calculate total costs and percentage for full-time and part-time personnel.</t>
    </r>
  </si>
  <si>
    <t>3. When entering your budget information, it is important to follow your Center's guidelines for cost allocation. The amounts entered are examples only.</t>
  </si>
  <si>
    <t>BUDGET TEMPLATE INSTRUCTIONS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</si>
</sst>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theme="8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3" fillId="2" borderId="1" xfId="0" applyFont="1" applyFill="1" applyBorder="1" applyAlignment="1">
      <alignment horizontal="center" wrapText="1"/>
    </xf>
    <xf numFmtId="41" fontId="3" fillId="2" borderId="1" xfId="0" applyNumberFormat="1" applyFont="1" applyFill="1" applyBorder="1" applyAlignment="1">
      <alignment horizontal="center" wrapText="1"/>
    </xf>
    <xf numFmtId="164" fontId="3" fillId="2" borderId="1" xfId="1" applyNumberFormat="1" applyFont="1" applyFill="1" applyBorder="1" applyAlignment="1">
      <alignment horizontal="center" wrapText="1"/>
    </xf>
    <xf numFmtId="0" fontId="3" fillId="3" borderId="1" xfId="0" applyFont="1" applyFill="1" applyBorder="1"/>
    <xf numFmtId="0" fontId="0" fillId="0" borderId="1" xfId="0" applyBorder="1"/>
    <xf numFmtId="0" fontId="4" fillId="0" borderId="1" xfId="0" applyFont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0" fontId="0" fillId="4" borderId="0" xfId="0" applyFill="1" applyBorder="1"/>
    <xf numFmtId="0" fontId="0" fillId="4" borderId="0" xfId="0" applyFill="1"/>
    <xf numFmtId="0" fontId="4" fillId="0" borderId="0" xfId="0" applyFont="1" applyAlignment="1">
      <alignment horizontal="right"/>
    </xf>
    <xf numFmtId="0" fontId="3" fillId="2" borderId="4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4" borderId="0" xfId="0" applyFon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165" fontId="0" fillId="0" borderId="1" xfId="0" applyNumberFormat="1" applyBorder="1"/>
    <xf numFmtId="166" fontId="2" fillId="0" borderId="1" xfId="0" applyNumberFormat="1" applyFont="1" applyBorder="1"/>
    <xf numFmtId="0" fontId="0" fillId="0" borderId="1" xfId="0" applyFont="1" applyBorder="1"/>
    <xf numFmtId="166" fontId="0" fillId="0" borderId="1" xfId="0" applyNumberFormat="1" applyBorder="1"/>
    <xf numFmtId="0" fontId="3" fillId="3" borderId="1" xfId="0" applyFont="1" applyFill="1" applyBorder="1" applyAlignment="1">
      <alignment horizontal="center"/>
    </xf>
    <xf numFmtId="3" fontId="0" fillId="0" borderId="1" xfId="0" applyNumberFormat="1" applyBorder="1"/>
    <xf numFmtId="4" fontId="0" fillId="0" borderId="1" xfId="0" applyNumberFormat="1" applyBorder="1"/>
    <xf numFmtId="3" fontId="0" fillId="0" borderId="0" xfId="0" applyNumberFormat="1" applyFill="1" applyBorder="1"/>
    <xf numFmtId="165" fontId="0" fillId="0" borderId="0" xfId="0" applyNumberFormat="1"/>
    <xf numFmtId="165" fontId="2" fillId="0" borderId="1" xfId="0" applyNumberFormat="1" applyFont="1" applyBorder="1"/>
    <xf numFmtId="165" fontId="2" fillId="3" borderId="1" xfId="0" applyNumberFormat="1" applyFont="1" applyFill="1" applyBorder="1"/>
    <xf numFmtId="164" fontId="3" fillId="2" borderId="6" xfId="1" applyNumberFormat="1" applyFont="1" applyFill="1" applyBorder="1" applyAlignment="1">
      <alignment horizontal="center" wrapText="1"/>
    </xf>
    <xf numFmtId="164" fontId="3" fillId="2" borderId="4" xfId="1" applyNumberFormat="1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/>
    <xf numFmtId="0" fontId="2" fillId="0" borderId="1" xfId="0" applyFont="1" applyBorder="1" applyAlignment="1">
      <alignment horizontal="right"/>
    </xf>
    <xf numFmtId="164" fontId="3" fillId="2" borderId="5" xfId="1" applyNumberFormat="1" applyFont="1" applyFill="1" applyBorder="1" applyAlignment="1">
      <alignment horizontal="center" wrapText="1"/>
    </xf>
    <xf numFmtId="4" fontId="0" fillId="4" borderId="1" xfId="0" applyNumberFormat="1" applyFill="1" applyBorder="1"/>
    <xf numFmtId="10" fontId="0" fillId="0" borderId="0" xfId="0" applyNumberFormat="1"/>
    <xf numFmtId="165" fontId="0" fillId="0" borderId="4" xfId="0" applyNumberFormat="1" applyBorder="1"/>
    <xf numFmtId="165" fontId="0" fillId="0" borderId="5" xfId="0" applyNumberFormat="1" applyBorder="1"/>
    <xf numFmtId="165" fontId="0" fillId="4" borderId="9" xfId="0" applyNumberFormat="1" applyFill="1" applyBorder="1"/>
    <xf numFmtId="0" fontId="2" fillId="0" borderId="3" xfId="0" applyFont="1" applyBorder="1"/>
    <xf numFmtId="0" fontId="0" fillId="4" borderId="11" xfId="0" applyFill="1" applyBorder="1"/>
    <xf numFmtId="0" fontId="0" fillId="4" borderId="12" xfId="0" applyFill="1" applyBorder="1"/>
    <xf numFmtId="0" fontId="2" fillId="0" borderId="3" xfId="0" applyFont="1" applyFill="1" applyBorder="1" applyAlignment="1">
      <alignment horizontal="left"/>
    </xf>
    <xf numFmtId="165" fontId="0" fillId="0" borderId="1" xfId="0" applyNumberFormat="1" applyFont="1" applyBorder="1"/>
    <xf numFmtId="0" fontId="2" fillId="0" borderId="2" xfId="0" applyFont="1" applyFill="1" applyBorder="1" applyAlignment="1">
      <alignment horizontal="left"/>
    </xf>
    <xf numFmtId="0" fontId="0" fillId="6" borderId="0" xfId="0" applyFill="1"/>
    <xf numFmtId="0" fontId="0" fillId="6" borderId="7" xfId="0" applyFill="1" applyBorder="1"/>
    <xf numFmtId="0" fontId="0" fillId="6" borderId="8" xfId="0" applyFill="1" applyBorder="1"/>
    <xf numFmtId="0" fontId="0" fillId="6" borderId="13" xfId="0" applyFill="1" applyBorder="1"/>
    <xf numFmtId="0" fontId="0" fillId="6" borderId="10" xfId="0" applyFill="1" applyBorder="1"/>
    <xf numFmtId="0" fontId="0" fillId="6" borderId="0" xfId="0" applyFont="1" applyFill="1" applyBorder="1"/>
    <xf numFmtId="0" fontId="0" fillId="6" borderId="0" xfId="0" applyFill="1" applyBorder="1"/>
    <xf numFmtId="0" fontId="0" fillId="6" borderId="14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5" xfId="0" applyFill="1" applyBorder="1"/>
    <xf numFmtId="164" fontId="3" fillId="2" borderId="0" xfId="1" applyNumberFormat="1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97155</xdr:colOff>
      <xdr:row>6</xdr:row>
      <xdr:rowOff>110490</xdr:rowOff>
    </xdr:from>
    <xdr:to>
      <xdr:col>9</xdr:col>
      <xdr:colOff>415290</xdr:colOff>
      <xdr:row>11</xdr:row>
      <xdr:rowOff>45720</xdr:rowOff>
    </xdr:to>
    <xdr:sp macro="" textlink="">
      <xdr:nvSpPr>
        <xdr:cNvPr id="2" name="Speech Bubble: Rectangle 1">
          <a:extLst>
            <a:ext uri="{FF2B5EF4-FFF2-40B4-BE49-F238E27FC236}">
              <a16:creationId xmlns:a16="http://schemas.microsoft.com/office/drawing/2014/main" id="{5ACB1DB6-E3AF-4AB7-BC8D-F6046FA2449E}"/>
            </a:ext>
          </a:extLst>
        </xdr:cNvPr>
        <xdr:cNvSpPr/>
      </xdr:nvSpPr>
      <xdr:spPr>
        <a:xfrm>
          <a:off x="8060055" y="1358265"/>
          <a:ext cx="2146935" cy="840105"/>
        </a:xfrm>
        <a:prstGeom prst="wedgeRectCallout">
          <a:avLst>
            <a:gd name="adj1" fmla="val -336912"/>
            <a:gd name="adj2" fmla="val 15744"/>
          </a:avLst>
        </a:prstGeom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The expenses listed are examples, please use</a:t>
          </a:r>
          <a:r>
            <a:rPr lang="en-US" sz="1100" baseline="0"/>
            <a:t> data from your chart of accounts when completing your budget.</a:t>
          </a:r>
          <a:endParaRPr lang="en-US" sz="1100"/>
        </a:p>
      </xdr:txBody>
    </xdr:sp>
    <xdr:clientData/>
  </xdr:twoCellAnchor>
  <xdr:twoCellAnchor>
    <xdr:from>
      <xdr:col>0</xdr:col>
      <xdr:colOff>401955</xdr:colOff>
      <xdr:row>66</xdr:row>
      <xdr:rowOff>100965</xdr:rowOff>
    </xdr:from>
    <xdr:to>
      <xdr:col>1</xdr:col>
      <xdr:colOff>361950</xdr:colOff>
      <xdr:row>71</xdr:row>
      <xdr:rowOff>38100</xdr:rowOff>
    </xdr:to>
    <xdr:sp macro="" textlink="">
      <xdr:nvSpPr>
        <xdr:cNvPr id="3" name="Speech Bubble: Rectangle 2">
          <a:extLst>
            <a:ext uri="{FF2B5EF4-FFF2-40B4-BE49-F238E27FC236}">
              <a16:creationId xmlns:a16="http://schemas.microsoft.com/office/drawing/2014/main" id="{55109436-3362-4622-A186-D57B39549A49}"/>
            </a:ext>
          </a:extLst>
        </xdr:cNvPr>
        <xdr:cNvSpPr/>
      </xdr:nvSpPr>
      <xdr:spPr>
        <a:xfrm>
          <a:off x="401955" y="12207240"/>
          <a:ext cx="2188845" cy="842010"/>
        </a:xfrm>
        <a:prstGeom prst="wedgeRectCallout">
          <a:avLst>
            <a:gd name="adj1" fmla="val 21890"/>
            <a:gd name="adj2" fmla="val -122369"/>
          </a:avLst>
        </a:prstGeom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In</a:t>
          </a:r>
          <a:r>
            <a:rPr lang="en-US" sz="1100" baseline="0"/>
            <a:t> this template, you will see that all federal funds are anticipated to be expended. The only net income is derived from unrestricted funds.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512446</xdr:colOff>
      <xdr:row>14</xdr:row>
      <xdr:rowOff>1904</xdr:rowOff>
    </xdr:from>
    <xdr:to>
      <xdr:col>6</xdr:col>
      <xdr:colOff>1095376</xdr:colOff>
      <xdr:row>20</xdr:row>
      <xdr:rowOff>152400</xdr:rowOff>
    </xdr:to>
    <xdr:sp macro="" textlink="">
      <xdr:nvSpPr>
        <xdr:cNvPr id="2" name="Speech Bubble: Rectangle 1">
          <a:extLst>
            <a:ext uri="{FF2B5EF4-FFF2-40B4-BE49-F238E27FC236}">
              <a16:creationId xmlns:a16="http://schemas.microsoft.com/office/drawing/2014/main" id="{2EEC37BD-250F-47EF-B169-80F3DF29BD52}"/>
            </a:ext>
          </a:extLst>
        </xdr:cNvPr>
        <xdr:cNvSpPr/>
      </xdr:nvSpPr>
      <xdr:spPr>
        <a:xfrm>
          <a:off x="4465321" y="2535554"/>
          <a:ext cx="3897630" cy="1236346"/>
        </a:xfrm>
        <a:prstGeom prst="wedgeRectCallout">
          <a:avLst>
            <a:gd name="adj1" fmla="val 19894"/>
            <a:gd name="adj2" fmla="val -47800"/>
          </a:avLst>
        </a:prstGeom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 b="1" u="sng"/>
            <a:t>Notes:</a:t>
          </a:r>
          <a:endParaRPr lang="en-US" sz="1100" b="1" u="sng" baseline="0"/>
        </a:p>
        <a:p>
          <a:pPr algn="l"/>
          <a:endParaRPr lang="en-US" sz="1100" b="1" baseline="0"/>
        </a:p>
        <a:p>
          <a:pPr algn="l"/>
          <a:r>
            <a:rPr lang="en-US" sz="1100" b="0" baseline="0"/>
            <a:t>1</a:t>
          </a:r>
          <a:r>
            <a:rPr lang="en-US" sz="1100" baseline="0"/>
            <a:t> FTE (Full-Time Equivalent) is 2080 hours. </a:t>
          </a:r>
        </a:p>
        <a:p>
          <a:pPr algn="l"/>
          <a:endParaRPr lang="en-US" sz="1100" baseline="0"/>
        </a:p>
        <a:p>
          <a:pPr algn="l"/>
          <a:r>
            <a:rPr lang="en-US" sz="1100" baseline="0"/>
            <a:t>This spreadsheet shows the anticipated hours to be worked on by employee for each funding stream.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609600</xdr:colOff>
      <xdr:row>17</xdr:row>
      <xdr:rowOff>0</xdr:rowOff>
    </xdr:from>
    <xdr:to>
      <xdr:col>6</xdr:col>
      <xdr:colOff>129540</xdr:colOff>
      <xdr:row>22</xdr:row>
      <xdr:rowOff>179071</xdr:rowOff>
    </xdr:to>
    <xdr:sp macro="" textlink="">
      <xdr:nvSpPr>
        <xdr:cNvPr id="2" name="Speech Bubble: Rectangle 1">
          <a:extLst>
            <a:ext uri="{FF2B5EF4-FFF2-40B4-BE49-F238E27FC236}">
              <a16:creationId xmlns:a16="http://schemas.microsoft.com/office/drawing/2014/main" id="{AD9D5A84-ECB8-4277-BE6B-ABC761BAF17F}"/>
            </a:ext>
          </a:extLst>
        </xdr:cNvPr>
        <xdr:cNvSpPr/>
      </xdr:nvSpPr>
      <xdr:spPr>
        <a:xfrm>
          <a:off x="3543300" y="3238500"/>
          <a:ext cx="3444240" cy="1083946"/>
        </a:xfrm>
        <a:prstGeom prst="wedgeRectCallout">
          <a:avLst>
            <a:gd name="adj1" fmla="val 19894"/>
            <a:gd name="adj2" fmla="val -47800"/>
          </a:avLst>
        </a:prstGeom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 b="1" u="sng"/>
            <a:t>Notes:</a:t>
          </a:r>
          <a:endParaRPr lang="en-US" sz="1100" b="1" u="sng" baseline="0"/>
        </a:p>
        <a:p>
          <a:pPr algn="l"/>
          <a:endParaRPr lang="en-US" sz="1100" b="1" baseline="0"/>
        </a:p>
        <a:p>
          <a:pPr algn="l"/>
          <a:r>
            <a:rPr lang="en-US" sz="1100" baseline="0"/>
            <a:t>This spreadsheet shows the anticipated amount (based on the personnel allocation) to be charged to each funding stream. </a:t>
          </a:r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777240</xdr:colOff>
      <xdr:row>16</xdr:row>
      <xdr:rowOff>30479</xdr:rowOff>
    </xdr:from>
    <xdr:to>
      <xdr:col>8</xdr:col>
      <xdr:colOff>163830</xdr:colOff>
      <xdr:row>24</xdr:row>
      <xdr:rowOff>97155</xdr:rowOff>
    </xdr:to>
    <xdr:sp macro="" textlink="">
      <xdr:nvSpPr>
        <xdr:cNvPr id="2" name="Speech Bubble: Rectangle 1">
          <a:extLst>
            <a:ext uri="{FF2B5EF4-FFF2-40B4-BE49-F238E27FC236}">
              <a16:creationId xmlns:a16="http://schemas.microsoft.com/office/drawing/2014/main" id="{FF937F14-2ADE-4C45-AE73-E5D7D20714E6}"/>
            </a:ext>
          </a:extLst>
        </xdr:cNvPr>
        <xdr:cNvSpPr/>
      </xdr:nvSpPr>
      <xdr:spPr>
        <a:xfrm>
          <a:off x="5873115" y="3088004"/>
          <a:ext cx="3453765" cy="1514476"/>
        </a:xfrm>
        <a:prstGeom prst="wedgeRectCallout">
          <a:avLst>
            <a:gd name="adj1" fmla="val 19894"/>
            <a:gd name="adj2" fmla="val -47800"/>
          </a:avLst>
        </a:prstGeom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 b="1" u="sng"/>
            <a:t>Notes:</a:t>
          </a:r>
          <a:endParaRPr lang="en-US" sz="1100" b="1" u="sng" baseline="0"/>
        </a:p>
        <a:p>
          <a:pPr algn="l"/>
          <a:endParaRPr lang="en-US" sz="1100" b="1" baseline="0"/>
        </a:p>
        <a:p>
          <a:pPr algn="l"/>
          <a:r>
            <a:rPr lang="en-US" sz="1100" baseline="0"/>
            <a:t>This spreadsheet shows the breakdown of costs per employee for each benefit offered. </a:t>
          </a:r>
        </a:p>
        <a:p>
          <a:pPr algn="l"/>
          <a:endParaRPr lang="en-US" sz="1100" baseline="0"/>
        </a:p>
        <a:p>
          <a:pPr algn="l"/>
          <a:r>
            <a:rPr lang="en-US" sz="1100" baseline="0"/>
            <a:t>Once calculated, you are able to determine your full time fringe rate, and your part time fringe rate.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44704-44F3-40F3-A3BE-0410D730950C}">
  <dimension ref="A1:AN63"/>
  <sheetViews>
    <sheetView workbookViewId="0">
      <selection activeCell="E35" sqref="E35"/>
    </sheetView>
  </sheetViews>
  <sheetFormatPr defaultRowHeight="15" x14ac:dyDescent="0.25"/>
  <cols>
    <col min="23" max="40" width="8.85546875" style="47"/>
  </cols>
  <sheetData>
    <row r="1" spans="1:22" ht="21" x14ac:dyDescent="0.35">
      <c r="A1" s="59" t="s">
        <v>100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</row>
    <row r="2" spans="1:22" x14ac:dyDescent="0.25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50"/>
    </row>
    <row r="3" spans="1:22" x14ac:dyDescent="0.25">
      <c r="A3" s="51"/>
      <c r="B3" s="52" t="s">
        <v>93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4"/>
    </row>
    <row r="4" spans="1:22" x14ac:dyDescent="0.25">
      <c r="A4" s="51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4"/>
    </row>
    <row r="5" spans="1:22" x14ac:dyDescent="0.25">
      <c r="A5" s="51"/>
      <c r="B5" s="53" t="s">
        <v>94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4"/>
    </row>
    <row r="6" spans="1:22" x14ac:dyDescent="0.25">
      <c r="A6" s="51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4"/>
    </row>
    <row r="7" spans="1:22" ht="19.149999999999999" customHeight="1" x14ac:dyDescent="0.25">
      <c r="A7" s="51"/>
      <c r="B7" s="53"/>
      <c r="C7" s="53" t="s">
        <v>95</v>
      </c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4"/>
    </row>
    <row r="8" spans="1:22" ht="16.899999999999999" customHeight="1" x14ac:dyDescent="0.25">
      <c r="A8" s="51"/>
      <c r="B8" s="53"/>
      <c r="C8" s="53" t="s">
        <v>96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4"/>
    </row>
    <row r="9" spans="1:22" ht="18" customHeight="1" x14ac:dyDescent="0.25">
      <c r="A9" s="51"/>
      <c r="B9" s="53"/>
      <c r="C9" s="53" t="s">
        <v>97</v>
      </c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4"/>
    </row>
    <row r="10" spans="1:22" ht="20.45" customHeight="1" x14ac:dyDescent="0.25">
      <c r="A10" s="51"/>
      <c r="B10" s="53"/>
      <c r="C10" s="53" t="s">
        <v>98</v>
      </c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4"/>
    </row>
    <row r="11" spans="1:22" x14ac:dyDescent="0.25">
      <c r="A11" s="51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4"/>
    </row>
    <row r="12" spans="1:22" x14ac:dyDescent="0.25">
      <c r="A12" s="51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4"/>
    </row>
    <row r="13" spans="1:22" x14ac:dyDescent="0.25">
      <c r="A13" s="51"/>
      <c r="B13" s="53" t="s">
        <v>99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4"/>
    </row>
    <row r="14" spans="1:22" x14ac:dyDescent="0.25">
      <c r="A14" s="51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4"/>
    </row>
    <row r="15" spans="1:22" x14ac:dyDescent="0.25">
      <c r="A15" s="51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4"/>
    </row>
    <row r="16" spans="1:22" x14ac:dyDescent="0.25">
      <c r="A16" s="51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4"/>
    </row>
    <row r="17" spans="1:22" x14ac:dyDescent="0.25">
      <c r="A17" s="55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7"/>
    </row>
    <row r="18" spans="1:22" s="47" customFormat="1" x14ac:dyDescent="0.25"/>
    <row r="19" spans="1:22" s="47" customFormat="1" x14ac:dyDescent="0.25"/>
    <row r="20" spans="1:22" s="47" customFormat="1" x14ac:dyDescent="0.25"/>
    <row r="21" spans="1:22" s="47" customFormat="1" x14ac:dyDescent="0.25"/>
    <row r="22" spans="1:22" s="47" customFormat="1" x14ac:dyDescent="0.25"/>
    <row r="23" spans="1:22" s="47" customFormat="1" x14ac:dyDescent="0.25"/>
    <row r="24" spans="1:22" s="47" customFormat="1" x14ac:dyDescent="0.25"/>
    <row r="25" spans="1:22" s="47" customFormat="1" x14ac:dyDescent="0.25"/>
    <row r="26" spans="1:22" s="47" customFormat="1" x14ac:dyDescent="0.25"/>
    <row r="27" spans="1:22" s="47" customFormat="1" x14ac:dyDescent="0.25"/>
    <row r="28" spans="1:22" s="47" customFormat="1" x14ac:dyDescent="0.25"/>
    <row r="29" spans="1:22" s="47" customFormat="1" x14ac:dyDescent="0.25"/>
    <row r="30" spans="1:22" s="47" customFormat="1" x14ac:dyDescent="0.25"/>
    <row r="31" spans="1:22" s="47" customFormat="1" x14ac:dyDescent="0.25"/>
    <row r="32" spans="1:22" s="47" customFormat="1" x14ac:dyDescent="0.25"/>
    <row r="33" s="47" customFormat="1" x14ac:dyDescent="0.25"/>
    <row r="34" s="47" customFormat="1" x14ac:dyDescent="0.25"/>
    <row r="35" s="47" customFormat="1" x14ac:dyDescent="0.25"/>
    <row r="36" s="47" customFormat="1" x14ac:dyDescent="0.25"/>
    <row r="37" s="47" customFormat="1" x14ac:dyDescent="0.25"/>
    <row r="38" s="47" customFormat="1" x14ac:dyDescent="0.25"/>
    <row r="39" s="47" customFormat="1" x14ac:dyDescent="0.25"/>
    <row r="40" s="47" customFormat="1" x14ac:dyDescent="0.25"/>
    <row r="41" s="47" customFormat="1" x14ac:dyDescent="0.25"/>
    <row r="42" s="47" customFormat="1" x14ac:dyDescent="0.25"/>
    <row r="43" s="47" customFormat="1" x14ac:dyDescent="0.25"/>
    <row r="44" s="47" customFormat="1" x14ac:dyDescent="0.25"/>
    <row r="45" s="47" customFormat="1" x14ac:dyDescent="0.25"/>
    <row r="46" s="47" customFormat="1" x14ac:dyDescent="0.25"/>
    <row r="47" s="47" customFormat="1" x14ac:dyDescent="0.25"/>
    <row r="48" s="47" customFormat="1" x14ac:dyDescent="0.25"/>
    <row r="49" s="47" customFormat="1" x14ac:dyDescent="0.25"/>
    <row r="50" s="47" customFormat="1" x14ac:dyDescent="0.25"/>
    <row r="51" s="47" customFormat="1" x14ac:dyDescent="0.25"/>
    <row r="52" s="47" customFormat="1" x14ac:dyDescent="0.25"/>
    <row r="53" s="47" customFormat="1" x14ac:dyDescent="0.25"/>
    <row r="54" s="47" customFormat="1" x14ac:dyDescent="0.25"/>
    <row r="55" s="47" customFormat="1" x14ac:dyDescent="0.25"/>
    <row r="56" s="47" customFormat="1" x14ac:dyDescent="0.25"/>
    <row r="57" s="47" customFormat="1" x14ac:dyDescent="0.25"/>
    <row r="58" s="47" customFormat="1" x14ac:dyDescent="0.25"/>
    <row r="59" s="47" customFormat="1" x14ac:dyDescent="0.25"/>
    <row r="60" s="47" customFormat="1" x14ac:dyDescent="0.25"/>
    <row r="61" s="47" customFormat="1" x14ac:dyDescent="0.25"/>
    <row r="62" s="47" customFormat="1" x14ac:dyDescent="0.25"/>
    <row r="63" s="47" customFormat="1" x14ac:dyDescent="0.25"/>
  </sheetData>
  <mergeCells count="1">
    <mergeCell ref="A1:V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263D8-E158-4215-B504-83C5099014CD}">
  <dimension ref="A1:F63"/>
  <sheetViews>
    <sheetView workbookViewId="0">
      <pane ySplit="1" topLeftCell="A2" activePane="bottomLeft" state="frozen"/>
      <selection pane="bottomLeft" activeCell="H26" sqref="H26"/>
    </sheetView>
  </sheetViews>
  <sheetFormatPr defaultRowHeight="15" x14ac:dyDescent="0.25"/>
  <cols>
    <col min="1" max="1" width="32.42578125" bestFit="1" customWidth="1"/>
    <col min="2" max="2" width="17.42578125" customWidth="1"/>
    <col min="3" max="3" width="13.7109375" customWidth="1"/>
    <col min="4" max="4" width="17.7109375" customWidth="1"/>
    <col min="5" max="5" width="18.140625" customWidth="1"/>
    <col min="6" max="6" width="16.5703125" bestFit="1" customWidth="1"/>
  </cols>
  <sheetData>
    <row r="1" spans="1:6" ht="26.25" x14ac:dyDescent="0.25">
      <c r="A1" s="1" t="s">
        <v>4</v>
      </c>
      <c r="B1" s="2" t="s">
        <v>0</v>
      </c>
      <c r="C1" s="3" t="s">
        <v>1</v>
      </c>
      <c r="D1" s="3" t="s">
        <v>2</v>
      </c>
      <c r="E1" s="4" t="s">
        <v>60</v>
      </c>
      <c r="F1" s="4" t="s">
        <v>3</v>
      </c>
    </row>
    <row r="2" spans="1:6" x14ac:dyDescent="0.25">
      <c r="A2" s="5" t="s">
        <v>5</v>
      </c>
      <c r="B2" s="19">
        <f>SUM(C2:F2)</f>
        <v>501065</v>
      </c>
      <c r="C2" s="19">
        <v>150030</v>
      </c>
      <c r="D2" s="19">
        <v>351035</v>
      </c>
      <c r="E2" s="19">
        <v>0</v>
      </c>
      <c r="F2" s="19">
        <v>0</v>
      </c>
    </row>
    <row r="3" spans="1:6" x14ac:dyDescent="0.25">
      <c r="A3" s="5" t="s">
        <v>6</v>
      </c>
      <c r="B3" s="19">
        <f t="shared" ref="B3:B7" si="0">SUM(C3:F3)</f>
        <v>120750.08</v>
      </c>
      <c r="C3" s="19">
        <v>0</v>
      </c>
      <c r="D3" s="19">
        <v>0</v>
      </c>
      <c r="E3" s="19">
        <v>0</v>
      </c>
      <c r="F3" s="19">
        <f>120750+0.08</f>
        <v>120750.08</v>
      </c>
    </row>
    <row r="4" spans="1:6" x14ac:dyDescent="0.25">
      <c r="A4" s="5" t="s">
        <v>7</v>
      </c>
      <c r="B4" s="19">
        <f t="shared" si="0"/>
        <v>100000</v>
      </c>
      <c r="C4" s="19">
        <v>0</v>
      </c>
      <c r="D4" s="19">
        <v>0</v>
      </c>
      <c r="E4" s="19">
        <v>100000</v>
      </c>
      <c r="F4" s="19">
        <v>0</v>
      </c>
    </row>
    <row r="5" spans="1:6" x14ac:dyDescent="0.25">
      <c r="A5" s="5" t="s">
        <v>8</v>
      </c>
      <c r="B5" s="19">
        <f t="shared" si="0"/>
        <v>250</v>
      </c>
      <c r="C5" s="19">
        <v>0</v>
      </c>
      <c r="D5" s="19">
        <v>0</v>
      </c>
      <c r="E5" s="19">
        <v>250</v>
      </c>
      <c r="F5" s="19">
        <v>0</v>
      </c>
    </row>
    <row r="6" spans="1:6" x14ac:dyDescent="0.25">
      <c r="A6" s="5" t="s">
        <v>10</v>
      </c>
      <c r="B6" s="19">
        <f t="shared" si="0"/>
        <v>50000</v>
      </c>
      <c r="C6" s="19">
        <v>0</v>
      </c>
      <c r="D6" s="19">
        <v>0</v>
      </c>
      <c r="E6" s="19">
        <v>50000</v>
      </c>
      <c r="F6" s="19">
        <v>0</v>
      </c>
    </row>
    <row r="7" spans="1:6" x14ac:dyDescent="0.25">
      <c r="A7" s="5" t="s">
        <v>11</v>
      </c>
      <c r="B7" s="19">
        <f t="shared" si="0"/>
        <v>1500</v>
      </c>
      <c r="C7" s="19">
        <v>0</v>
      </c>
      <c r="D7" s="19">
        <v>0</v>
      </c>
      <c r="E7" s="19">
        <v>1500</v>
      </c>
      <c r="F7" s="19">
        <v>0</v>
      </c>
    </row>
    <row r="8" spans="1:6" x14ac:dyDescent="0.25">
      <c r="A8" s="6" t="s">
        <v>12</v>
      </c>
      <c r="B8" s="20">
        <f>SUM(B2:B7)</f>
        <v>773565.08</v>
      </c>
      <c r="C8" s="20">
        <f>SUM(C2:C7)</f>
        <v>150030</v>
      </c>
      <c r="D8" s="20">
        <f>SUM(D2:D7)</f>
        <v>351035</v>
      </c>
      <c r="E8" s="20">
        <f>SUM(E2:E7)</f>
        <v>151750</v>
      </c>
      <c r="F8" s="20">
        <f>SUM(F2:F7)</f>
        <v>120750.08</v>
      </c>
    </row>
    <row r="9" spans="1:6" x14ac:dyDescent="0.25">
      <c r="A9" s="7"/>
      <c r="B9" s="8"/>
      <c r="C9" s="8"/>
      <c r="D9" s="8"/>
      <c r="E9" s="8"/>
      <c r="F9" s="8"/>
    </row>
    <row r="10" spans="1:6" x14ac:dyDescent="0.25">
      <c r="A10" s="11" t="s">
        <v>13</v>
      </c>
      <c r="B10" s="9"/>
      <c r="C10" s="9"/>
      <c r="D10" s="9"/>
      <c r="E10" s="9"/>
      <c r="F10" s="9"/>
    </row>
    <row r="11" spans="1:6" x14ac:dyDescent="0.25">
      <c r="A11" s="12" t="s">
        <v>53</v>
      </c>
      <c r="B11" s="5"/>
      <c r="C11" s="5"/>
      <c r="D11" s="5"/>
      <c r="E11" s="5"/>
      <c r="F11" s="5"/>
    </row>
    <row r="12" spans="1:6" x14ac:dyDescent="0.25">
      <c r="A12" s="13" t="s">
        <v>14</v>
      </c>
      <c r="B12" s="28">
        <f>SUM(C12:F12)</f>
        <v>476352</v>
      </c>
      <c r="C12" s="19">
        <f>'C. Salary Allocation'!E16</f>
        <v>90336</v>
      </c>
      <c r="D12" s="19">
        <f>'C. Salary Allocation'!F16</f>
        <v>227514</v>
      </c>
      <c r="E12" s="19">
        <f>'C. Salary Allocation'!G16</f>
        <v>72416</v>
      </c>
      <c r="F12" s="19">
        <f>'C. Salary Allocation'!H16</f>
        <v>86086</v>
      </c>
    </row>
    <row r="13" spans="1:6" x14ac:dyDescent="0.25">
      <c r="A13" s="13" t="s">
        <v>15</v>
      </c>
      <c r="B13" s="28">
        <f>SUM(C13:F13)</f>
        <v>80830.95051282052</v>
      </c>
      <c r="C13" s="19">
        <f>'D. Fringe Allocation'!M14</f>
        <v>15696.499615384617</v>
      </c>
      <c r="D13" s="19">
        <f>'D. Fringe Allocation'!N14</f>
        <v>36584.235320512824</v>
      </c>
      <c r="E13" s="19">
        <f>'D. Fringe Allocation'!O14</f>
        <v>13701.563717948718</v>
      </c>
      <c r="F13" s="19">
        <f>'D. Fringe Allocation'!P14</f>
        <v>14848.651858974361</v>
      </c>
    </row>
    <row r="14" spans="1:6" x14ac:dyDescent="0.25">
      <c r="A14" s="14" t="s">
        <v>16</v>
      </c>
      <c r="B14" s="28">
        <f>SUM(B12:B13)</f>
        <v>557182.95051282051</v>
      </c>
      <c r="C14" s="28">
        <f t="shared" ref="C14:F14" si="1">SUM(C12:C13)</f>
        <v>106032.49961538462</v>
      </c>
      <c r="D14" s="28">
        <f t="shared" si="1"/>
        <v>264098.23532051285</v>
      </c>
      <c r="E14" s="28">
        <f t="shared" si="1"/>
        <v>86117.563717948724</v>
      </c>
      <c r="F14" s="28">
        <f t="shared" si="1"/>
        <v>100934.65185897436</v>
      </c>
    </row>
    <row r="15" spans="1:6" x14ac:dyDescent="0.25">
      <c r="A15" s="15"/>
      <c r="B15" s="8"/>
      <c r="C15" s="8"/>
      <c r="D15" s="8"/>
      <c r="E15" s="8"/>
      <c r="F15" s="8"/>
    </row>
    <row r="16" spans="1:6" x14ac:dyDescent="0.25">
      <c r="A16" s="41" t="s">
        <v>54</v>
      </c>
      <c r="B16" s="42"/>
      <c r="C16" s="43"/>
      <c r="D16" s="43"/>
      <c r="E16" s="43"/>
      <c r="F16" s="43"/>
    </row>
    <row r="17" spans="1:6" x14ac:dyDescent="0.25">
      <c r="A17" s="13" t="s">
        <v>59</v>
      </c>
      <c r="B17" s="39">
        <f>SUM(C17:F17)</f>
        <v>5500</v>
      </c>
      <c r="C17" s="39">
        <v>1000</v>
      </c>
      <c r="D17" s="39">
        <v>2000</v>
      </c>
      <c r="E17" s="39">
        <v>500</v>
      </c>
      <c r="F17" s="39">
        <v>2000</v>
      </c>
    </row>
    <row r="18" spans="1:6" x14ac:dyDescent="0.25">
      <c r="A18" s="13" t="s">
        <v>19</v>
      </c>
      <c r="B18" s="19">
        <f t="shared" ref="B18:B20" si="2">SUM(C18:F18)</f>
        <v>1500</v>
      </c>
      <c r="C18" s="19">
        <v>500</v>
      </c>
      <c r="D18" s="19">
        <v>500</v>
      </c>
      <c r="E18" s="19">
        <v>0</v>
      </c>
      <c r="F18" s="19">
        <v>500</v>
      </c>
    </row>
    <row r="19" spans="1:6" x14ac:dyDescent="0.25">
      <c r="A19" s="13" t="s">
        <v>17</v>
      </c>
      <c r="B19" s="19">
        <f t="shared" si="2"/>
        <v>2500</v>
      </c>
      <c r="C19" s="19">
        <v>0</v>
      </c>
      <c r="D19" s="19">
        <v>500</v>
      </c>
      <c r="E19" s="19">
        <v>1500</v>
      </c>
      <c r="F19" s="19">
        <v>500</v>
      </c>
    </row>
    <row r="20" spans="1:6" x14ac:dyDescent="0.25">
      <c r="A20" s="13" t="s">
        <v>18</v>
      </c>
      <c r="B20" s="19">
        <f t="shared" si="2"/>
        <v>2000</v>
      </c>
      <c r="C20" s="19">
        <v>500</v>
      </c>
      <c r="D20" s="19">
        <v>500</v>
      </c>
      <c r="E20" s="19">
        <v>500</v>
      </c>
      <c r="F20" s="19">
        <v>500</v>
      </c>
    </row>
    <row r="21" spans="1:6" x14ac:dyDescent="0.25">
      <c r="A21" s="6" t="s">
        <v>20</v>
      </c>
      <c r="B21" s="28">
        <f>SUM(B17:B20)</f>
        <v>11500</v>
      </c>
      <c r="C21" s="28">
        <f t="shared" ref="C21:F21" si="3">SUM(C17:C20)</f>
        <v>2000</v>
      </c>
      <c r="D21" s="28">
        <f t="shared" si="3"/>
        <v>3500</v>
      </c>
      <c r="E21" s="28">
        <f t="shared" si="3"/>
        <v>2500</v>
      </c>
      <c r="F21" s="28">
        <f t="shared" si="3"/>
        <v>3500</v>
      </c>
    </row>
    <row r="22" spans="1:6" x14ac:dyDescent="0.25">
      <c r="A22" s="15"/>
      <c r="B22" s="8"/>
      <c r="C22" s="8"/>
      <c r="D22" s="8"/>
      <c r="E22" s="8"/>
      <c r="F22" s="8"/>
    </row>
    <row r="23" spans="1:6" x14ac:dyDescent="0.25">
      <c r="A23" s="44" t="s">
        <v>55</v>
      </c>
      <c r="B23" s="42"/>
      <c r="C23" s="43"/>
      <c r="D23" s="43"/>
      <c r="E23" s="43"/>
      <c r="F23" s="43"/>
    </row>
    <row r="24" spans="1:6" x14ac:dyDescent="0.25">
      <c r="A24" s="16" t="s">
        <v>21</v>
      </c>
      <c r="B24" s="39">
        <f>SUM(C24:F24)</f>
        <v>9000</v>
      </c>
      <c r="C24" s="39">
        <v>2000</v>
      </c>
      <c r="D24" s="39">
        <v>3500</v>
      </c>
      <c r="E24" s="39">
        <v>3000</v>
      </c>
      <c r="F24" s="39">
        <v>500</v>
      </c>
    </row>
    <row r="25" spans="1:6" x14ac:dyDescent="0.25">
      <c r="A25" s="16" t="s">
        <v>22</v>
      </c>
      <c r="B25" s="39">
        <f t="shared" ref="B25:B28" si="4">SUM(C25:F25)</f>
        <v>2250</v>
      </c>
      <c r="C25" s="19">
        <v>500</v>
      </c>
      <c r="D25" s="19">
        <v>875</v>
      </c>
      <c r="E25" s="19">
        <v>750</v>
      </c>
      <c r="F25" s="19">
        <v>125</v>
      </c>
    </row>
    <row r="26" spans="1:6" x14ac:dyDescent="0.25">
      <c r="A26" s="16" t="s">
        <v>23</v>
      </c>
      <c r="B26" s="39">
        <f t="shared" si="4"/>
        <v>5350</v>
      </c>
      <c r="C26" s="19">
        <v>1500</v>
      </c>
      <c r="D26" s="19">
        <v>1800</v>
      </c>
      <c r="E26" s="19">
        <v>1700</v>
      </c>
      <c r="F26" s="19">
        <v>350</v>
      </c>
    </row>
    <row r="27" spans="1:6" x14ac:dyDescent="0.25">
      <c r="A27" s="16" t="s">
        <v>24</v>
      </c>
      <c r="B27" s="39">
        <f t="shared" si="4"/>
        <v>11000</v>
      </c>
      <c r="C27" s="19">
        <v>2500</v>
      </c>
      <c r="D27" s="19">
        <v>5000</v>
      </c>
      <c r="E27" s="19">
        <v>500</v>
      </c>
      <c r="F27" s="19">
        <v>3000</v>
      </c>
    </row>
    <row r="28" spans="1:6" x14ac:dyDescent="0.25">
      <c r="A28" s="16" t="s">
        <v>25</v>
      </c>
      <c r="B28" s="39">
        <f t="shared" si="4"/>
        <v>3000</v>
      </c>
      <c r="C28" s="19">
        <v>500</v>
      </c>
      <c r="D28" s="19">
        <v>500</v>
      </c>
      <c r="E28" s="19">
        <v>2000</v>
      </c>
      <c r="F28" s="19">
        <v>0</v>
      </c>
    </row>
    <row r="29" spans="1:6" x14ac:dyDescent="0.25">
      <c r="A29" s="17" t="s">
        <v>26</v>
      </c>
      <c r="B29" s="28">
        <f>SUM(B24:B28)</f>
        <v>30600</v>
      </c>
      <c r="C29" s="28">
        <f t="shared" ref="C29:F29" si="5">SUM(C24:C28)</f>
        <v>7000</v>
      </c>
      <c r="D29" s="28">
        <f t="shared" si="5"/>
        <v>11675</v>
      </c>
      <c r="E29" s="28">
        <f t="shared" si="5"/>
        <v>7950</v>
      </c>
      <c r="F29" s="28">
        <f t="shared" si="5"/>
        <v>3975</v>
      </c>
    </row>
    <row r="30" spans="1:6" x14ac:dyDescent="0.25">
      <c r="A30" s="15"/>
      <c r="B30" s="8"/>
      <c r="C30" s="8"/>
      <c r="D30" s="8"/>
      <c r="E30" s="8"/>
      <c r="F30" s="8"/>
    </row>
    <row r="31" spans="1:6" x14ac:dyDescent="0.25">
      <c r="A31" s="44" t="s">
        <v>56</v>
      </c>
      <c r="B31" s="42"/>
      <c r="C31" s="43"/>
      <c r="D31" s="43"/>
      <c r="E31" s="43"/>
      <c r="F31" s="43"/>
    </row>
    <row r="32" spans="1:6" x14ac:dyDescent="0.25">
      <c r="A32" s="16" t="s">
        <v>30</v>
      </c>
      <c r="B32" s="39">
        <f>SUM(C32:F32)</f>
        <v>1500</v>
      </c>
      <c r="C32" s="39">
        <v>500</v>
      </c>
      <c r="D32" s="39">
        <v>500</v>
      </c>
      <c r="E32" s="39">
        <v>500</v>
      </c>
      <c r="F32" s="39">
        <v>0</v>
      </c>
    </row>
    <row r="33" spans="1:6" x14ac:dyDescent="0.25">
      <c r="A33" s="16" t="s">
        <v>29</v>
      </c>
      <c r="B33" s="19">
        <f t="shared" ref="B33:B39" si="6">SUM(C33:F33)</f>
        <v>2000</v>
      </c>
      <c r="C33" s="19">
        <v>500</v>
      </c>
      <c r="D33" s="19">
        <v>500</v>
      </c>
      <c r="E33" s="19">
        <v>500</v>
      </c>
      <c r="F33" s="19">
        <v>500</v>
      </c>
    </row>
    <row r="34" spans="1:6" x14ac:dyDescent="0.25">
      <c r="A34" s="16" t="s">
        <v>41</v>
      </c>
      <c r="B34" s="19">
        <f t="shared" si="6"/>
        <v>1400</v>
      </c>
      <c r="C34" s="19">
        <v>350</v>
      </c>
      <c r="D34" s="19">
        <v>350</v>
      </c>
      <c r="E34" s="19">
        <v>350</v>
      </c>
      <c r="F34" s="19">
        <v>350</v>
      </c>
    </row>
    <row r="35" spans="1:6" x14ac:dyDescent="0.25">
      <c r="A35" s="16" t="s">
        <v>40</v>
      </c>
      <c r="B35" s="45">
        <f t="shared" si="6"/>
        <v>60300</v>
      </c>
      <c r="C35" s="19">
        <f>0.26*60000</f>
        <v>15600</v>
      </c>
      <c r="D35" s="19">
        <f>60000*0.62</f>
        <v>37200</v>
      </c>
      <c r="E35" s="19">
        <f>60000*0.085</f>
        <v>5100</v>
      </c>
      <c r="F35" s="19">
        <f>60000*0.04</f>
        <v>2400</v>
      </c>
    </row>
    <row r="36" spans="1:6" x14ac:dyDescent="0.25">
      <c r="A36" s="16" t="s">
        <v>42</v>
      </c>
      <c r="B36" s="19">
        <f t="shared" si="6"/>
        <v>600</v>
      </c>
      <c r="C36" s="19">
        <v>200</v>
      </c>
      <c r="D36" s="19">
        <v>200</v>
      </c>
      <c r="E36" s="19">
        <v>200</v>
      </c>
      <c r="F36" s="19">
        <v>0</v>
      </c>
    </row>
    <row r="37" spans="1:6" x14ac:dyDescent="0.25">
      <c r="A37" s="16" t="s">
        <v>28</v>
      </c>
      <c r="B37" s="19">
        <f t="shared" si="6"/>
        <v>3000</v>
      </c>
      <c r="C37" s="19">
        <f>3000/4</f>
        <v>750</v>
      </c>
      <c r="D37" s="19">
        <v>750</v>
      </c>
      <c r="E37" s="19">
        <v>750</v>
      </c>
      <c r="F37" s="19">
        <v>750</v>
      </c>
    </row>
    <row r="38" spans="1:6" x14ac:dyDescent="0.25">
      <c r="A38" s="16" t="s">
        <v>31</v>
      </c>
      <c r="B38" s="19">
        <f t="shared" si="6"/>
        <v>2500</v>
      </c>
      <c r="C38" s="19">
        <v>500</v>
      </c>
      <c r="D38" s="19">
        <v>500</v>
      </c>
      <c r="E38" s="19">
        <v>1500</v>
      </c>
      <c r="F38" s="19">
        <v>0</v>
      </c>
    </row>
    <row r="39" spans="1:6" x14ac:dyDescent="0.25">
      <c r="A39" s="16" t="s">
        <v>27</v>
      </c>
      <c r="B39" s="19">
        <f t="shared" si="6"/>
        <v>500</v>
      </c>
      <c r="C39" s="19">
        <v>0</v>
      </c>
      <c r="D39" s="19">
        <v>0</v>
      </c>
      <c r="E39" s="19">
        <v>0</v>
      </c>
      <c r="F39" s="19">
        <v>500</v>
      </c>
    </row>
    <row r="40" spans="1:6" x14ac:dyDescent="0.25">
      <c r="A40" s="17" t="s">
        <v>32</v>
      </c>
      <c r="B40" s="28">
        <f>SUM(B32:B39)</f>
        <v>71800</v>
      </c>
      <c r="C40" s="28">
        <f t="shared" ref="C40:F40" si="7">SUM(C32:C39)</f>
        <v>18400</v>
      </c>
      <c r="D40" s="28">
        <f t="shared" si="7"/>
        <v>40000</v>
      </c>
      <c r="E40" s="28">
        <f t="shared" si="7"/>
        <v>8900</v>
      </c>
      <c r="F40" s="28">
        <f t="shared" si="7"/>
        <v>4500</v>
      </c>
    </row>
    <row r="41" spans="1:6" x14ac:dyDescent="0.25">
      <c r="A41" s="15"/>
      <c r="B41" s="8"/>
      <c r="C41" s="8"/>
      <c r="D41" s="8"/>
      <c r="E41" s="8"/>
      <c r="F41" s="8"/>
    </row>
    <row r="42" spans="1:6" x14ac:dyDescent="0.25">
      <c r="A42" s="46" t="s">
        <v>57</v>
      </c>
      <c r="B42" s="42"/>
      <c r="C42" s="9"/>
      <c r="D42" s="9"/>
      <c r="E42" s="9"/>
      <c r="F42" s="9"/>
    </row>
    <row r="43" spans="1:6" x14ac:dyDescent="0.25">
      <c r="A43" s="16" t="s">
        <v>49</v>
      </c>
      <c r="B43" s="19">
        <f>SUM(C43:F43)</f>
        <v>39002.806535897442</v>
      </c>
      <c r="C43" s="19">
        <f>0.07*C14</f>
        <v>7422.2749730769237</v>
      </c>
      <c r="D43" s="19">
        <f t="shared" ref="D43:F43" si="8">0.07*D14</f>
        <v>18486.876472435903</v>
      </c>
      <c r="E43" s="19">
        <f t="shared" si="8"/>
        <v>6028.2294602564116</v>
      </c>
      <c r="F43" s="19">
        <f t="shared" si="8"/>
        <v>7065.4256301282057</v>
      </c>
    </row>
    <row r="44" spans="1:6" x14ac:dyDescent="0.25">
      <c r="A44" s="16" t="s">
        <v>38</v>
      </c>
      <c r="B44" s="19">
        <f t="shared" ref="B44:B50" si="9">SUM(C44:F44)</f>
        <v>1200</v>
      </c>
      <c r="C44" s="19">
        <v>0</v>
      </c>
      <c r="D44" s="19">
        <v>0</v>
      </c>
      <c r="E44" s="19">
        <v>1200</v>
      </c>
      <c r="F44" s="19">
        <v>0</v>
      </c>
    </row>
    <row r="45" spans="1:6" x14ac:dyDescent="0.25">
      <c r="A45" s="16" t="s">
        <v>36</v>
      </c>
      <c r="B45" s="19">
        <f t="shared" si="9"/>
        <v>4000</v>
      </c>
      <c r="C45" s="19">
        <v>0</v>
      </c>
      <c r="D45" s="19">
        <v>0</v>
      </c>
      <c r="E45" s="19">
        <v>4000</v>
      </c>
      <c r="F45" s="19">
        <v>0</v>
      </c>
    </row>
    <row r="46" spans="1:6" x14ac:dyDescent="0.25">
      <c r="A46" s="16" t="s">
        <v>33</v>
      </c>
      <c r="B46" s="19">
        <f t="shared" si="9"/>
        <v>1250</v>
      </c>
      <c r="C46" s="19">
        <v>250</v>
      </c>
      <c r="D46" s="19">
        <v>500</v>
      </c>
      <c r="E46" s="19">
        <v>500</v>
      </c>
      <c r="F46" s="19">
        <v>0</v>
      </c>
    </row>
    <row r="47" spans="1:6" x14ac:dyDescent="0.25">
      <c r="A47" s="16" t="s">
        <v>35</v>
      </c>
      <c r="B47" s="19">
        <f t="shared" si="9"/>
        <v>500</v>
      </c>
      <c r="C47" s="19">
        <v>125</v>
      </c>
      <c r="D47" s="19">
        <v>125</v>
      </c>
      <c r="E47" s="19">
        <v>125</v>
      </c>
      <c r="F47" s="19">
        <v>125</v>
      </c>
    </row>
    <row r="48" spans="1:6" x14ac:dyDescent="0.25">
      <c r="A48" s="16" t="s">
        <v>37</v>
      </c>
      <c r="B48" s="19">
        <f t="shared" si="9"/>
        <v>550</v>
      </c>
      <c r="C48" s="19">
        <v>0</v>
      </c>
      <c r="D48" s="19">
        <v>0</v>
      </c>
      <c r="E48" s="19">
        <v>550</v>
      </c>
      <c r="F48" s="19">
        <v>0</v>
      </c>
    </row>
    <row r="49" spans="1:6" x14ac:dyDescent="0.25">
      <c r="A49" s="16" t="s">
        <v>9</v>
      </c>
      <c r="B49" s="19">
        <f t="shared" si="9"/>
        <v>5500</v>
      </c>
      <c r="C49" s="19">
        <v>0</v>
      </c>
      <c r="D49" s="19">
        <v>0</v>
      </c>
      <c r="E49" s="19">
        <v>5500</v>
      </c>
      <c r="F49" s="19">
        <v>0</v>
      </c>
    </row>
    <row r="50" spans="1:6" x14ac:dyDescent="0.25">
      <c r="A50" s="16" t="s">
        <v>34</v>
      </c>
      <c r="B50" s="19">
        <f t="shared" si="9"/>
        <v>1500</v>
      </c>
      <c r="C50" s="19">
        <v>500</v>
      </c>
      <c r="D50" s="19">
        <v>1000</v>
      </c>
      <c r="E50" s="19">
        <v>0</v>
      </c>
      <c r="F50" s="19">
        <v>0</v>
      </c>
    </row>
    <row r="51" spans="1:6" x14ac:dyDescent="0.25">
      <c r="A51" s="17" t="s">
        <v>39</v>
      </c>
      <c r="B51" s="28">
        <f>SUM(B43:B50)</f>
        <v>53502.806535897442</v>
      </c>
      <c r="C51" s="28">
        <f t="shared" ref="C51:F51" si="10">SUM(C43:C50)</f>
        <v>8297.2749730769247</v>
      </c>
      <c r="D51" s="28">
        <f t="shared" si="10"/>
        <v>20111.876472435903</v>
      </c>
      <c r="E51" s="28">
        <f t="shared" si="10"/>
        <v>17903.229460256411</v>
      </c>
      <c r="F51" s="28">
        <f t="shared" si="10"/>
        <v>7190.4256301282057</v>
      </c>
    </row>
    <row r="52" spans="1:6" x14ac:dyDescent="0.25">
      <c r="A52" s="15"/>
      <c r="B52" s="8"/>
      <c r="C52" s="8"/>
      <c r="D52" s="8"/>
      <c r="E52" s="8"/>
      <c r="F52" s="8"/>
    </row>
    <row r="53" spans="1:6" x14ac:dyDescent="0.25">
      <c r="A53" s="44" t="s">
        <v>58</v>
      </c>
      <c r="B53" s="42"/>
      <c r="C53" s="43"/>
      <c r="D53" s="43"/>
      <c r="E53" s="43"/>
      <c r="F53" s="43"/>
    </row>
    <row r="54" spans="1:6" x14ac:dyDescent="0.25">
      <c r="A54" s="16" t="s">
        <v>46</v>
      </c>
      <c r="B54" s="39">
        <f>SUM(C54:F54)</f>
        <v>175</v>
      </c>
      <c r="C54" s="39">
        <v>100</v>
      </c>
      <c r="D54" s="39">
        <v>50</v>
      </c>
      <c r="E54" s="39">
        <v>25</v>
      </c>
      <c r="F54" s="39">
        <v>0</v>
      </c>
    </row>
    <row r="55" spans="1:6" x14ac:dyDescent="0.25">
      <c r="A55" s="16" t="s">
        <v>47</v>
      </c>
      <c r="B55" s="39">
        <f t="shared" ref="B55:B59" si="11">SUM(C55:F55)</f>
        <v>400</v>
      </c>
      <c r="C55" s="19">
        <v>0</v>
      </c>
      <c r="D55" s="19">
        <v>0</v>
      </c>
      <c r="E55" s="19">
        <v>400</v>
      </c>
      <c r="F55" s="19">
        <v>0</v>
      </c>
    </row>
    <row r="56" spans="1:6" x14ac:dyDescent="0.25">
      <c r="A56" s="16" t="s">
        <v>48</v>
      </c>
      <c r="B56" s="39">
        <f t="shared" si="11"/>
        <v>2000</v>
      </c>
      <c r="C56" s="19">
        <v>1200</v>
      </c>
      <c r="D56" s="19">
        <v>600</v>
      </c>
      <c r="E56" s="19">
        <v>200</v>
      </c>
      <c r="F56" s="19">
        <v>0</v>
      </c>
    </row>
    <row r="57" spans="1:6" x14ac:dyDescent="0.25">
      <c r="A57" s="16" t="s">
        <v>45</v>
      </c>
      <c r="B57" s="39">
        <f t="shared" si="11"/>
        <v>3550</v>
      </c>
      <c r="C57" s="19">
        <v>2000</v>
      </c>
      <c r="D57" s="19">
        <v>1000</v>
      </c>
      <c r="E57" s="19">
        <v>500</v>
      </c>
      <c r="F57" s="19">
        <v>50</v>
      </c>
    </row>
    <row r="58" spans="1:6" x14ac:dyDescent="0.25">
      <c r="A58" s="16" t="s">
        <v>43</v>
      </c>
      <c r="B58" s="39">
        <f t="shared" si="11"/>
        <v>6700</v>
      </c>
      <c r="C58" s="19">
        <v>2000</v>
      </c>
      <c r="D58" s="19">
        <v>4000</v>
      </c>
      <c r="E58" s="19">
        <v>500</v>
      </c>
      <c r="F58" s="19">
        <v>200</v>
      </c>
    </row>
    <row r="59" spans="1:6" x14ac:dyDescent="0.25">
      <c r="A59" s="16" t="s">
        <v>44</v>
      </c>
      <c r="B59" s="39">
        <f t="shared" si="11"/>
        <v>10400</v>
      </c>
      <c r="C59" s="19">
        <v>3000</v>
      </c>
      <c r="D59" s="19">
        <v>6000</v>
      </c>
      <c r="E59" s="19">
        <v>1000</v>
      </c>
      <c r="F59" s="19">
        <v>400</v>
      </c>
    </row>
    <row r="60" spans="1:6" x14ac:dyDescent="0.25">
      <c r="A60" s="17" t="s">
        <v>50</v>
      </c>
      <c r="B60" s="28">
        <f>SUM(B54:B59)</f>
        <v>23225</v>
      </c>
      <c r="C60" s="28">
        <f>SUM(C54:C59)</f>
        <v>8300</v>
      </c>
      <c r="D60" s="28">
        <f t="shared" ref="D60:F60" si="12">SUM(D54:D59)</f>
        <v>11650</v>
      </c>
      <c r="E60" s="28">
        <f t="shared" si="12"/>
        <v>2625</v>
      </c>
      <c r="F60" s="28">
        <f t="shared" si="12"/>
        <v>650</v>
      </c>
    </row>
    <row r="61" spans="1:6" x14ac:dyDescent="0.25">
      <c r="A61" s="15"/>
      <c r="B61" s="8"/>
      <c r="C61" s="8"/>
      <c r="D61" s="8"/>
      <c r="E61" s="8"/>
      <c r="F61" s="8"/>
    </row>
    <row r="62" spans="1:6" x14ac:dyDescent="0.25">
      <c r="A62" s="18" t="s">
        <v>51</v>
      </c>
      <c r="B62" s="28">
        <f>B14+B21+B29+B40+B51+B60</f>
        <v>747810.75704871793</v>
      </c>
      <c r="C62" s="28">
        <f t="shared" ref="C62:F62" si="13">C14+C21+C29+C40+C51+C60</f>
        <v>150029.77458846153</v>
      </c>
      <c r="D62" s="28">
        <f t="shared" si="13"/>
        <v>351035.11179294874</v>
      </c>
      <c r="E62" s="28">
        <f t="shared" si="13"/>
        <v>125995.79317820513</v>
      </c>
      <c r="F62" s="28">
        <f t="shared" si="13"/>
        <v>120750.07748910256</v>
      </c>
    </row>
    <row r="63" spans="1:6" x14ac:dyDescent="0.25">
      <c r="A63" s="18" t="s">
        <v>52</v>
      </c>
      <c r="B63" s="28">
        <f>B8-B62</f>
        <v>25754.322951282025</v>
      </c>
      <c r="C63" s="28">
        <f t="shared" ref="C63:F63" si="14">C8-C62</f>
        <v>0.22541153847123496</v>
      </c>
      <c r="D63" s="28">
        <f t="shared" si="14"/>
        <v>-0.11179294873727486</v>
      </c>
      <c r="E63" s="28">
        <f t="shared" si="14"/>
        <v>25754.206821794869</v>
      </c>
      <c r="F63" s="28">
        <f t="shared" si="14"/>
        <v>2.5108974368777126E-3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EB9FD-E4A3-4A56-8D6A-D81AD70DE14E}">
  <dimension ref="A1:I15"/>
  <sheetViews>
    <sheetView workbookViewId="0">
      <selection activeCell="B10" sqref="B10"/>
    </sheetView>
  </sheetViews>
  <sheetFormatPr defaultRowHeight="15" x14ac:dyDescent="0.25"/>
  <cols>
    <col min="1" max="1" width="29.5703125" bestFit="1" customWidth="1"/>
    <col min="2" max="2" width="28" customWidth="1"/>
    <col min="3" max="3" width="12.85546875" customWidth="1"/>
    <col min="5" max="5" width="12.7109375" customWidth="1"/>
    <col min="6" max="6" width="13.7109375" customWidth="1"/>
    <col min="7" max="7" width="17.7109375" customWidth="1"/>
    <col min="8" max="8" width="18.140625" customWidth="1"/>
    <col min="9" max="9" width="16.5703125" bestFit="1" customWidth="1"/>
  </cols>
  <sheetData>
    <row r="1" spans="1:9" ht="26.25" x14ac:dyDescent="0.25">
      <c r="A1" s="3" t="s">
        <v>66</v>
      </c>
      <c r="B1" s="3" t="s">
        <v>67</v>
      </c>
      <c r="C1" s="3" t="s">
        <v>68</v>
      </c>
      <c r="D1" s="3" t="s">
        <v>70</v>
      </c>
      <c r="E1" s="3" t="s">
        <v>69</v>
      </c>
      <c r="F1" s="3" t="s">
        <v>1</v>
      </c>
      <c r="G1" s="3" t="s">
        <v>2</v>
      </c>
      <c r="H1" s="23" t="s">
        <v>71</v>
      </c>
      <c r="I1" s="4" t="s">
        <v>3</v>
      </c>
    </row>
    <row r="2" spans="1:9" x14ac:dyDescent="0.25">
      <c r="A2" s="21" t="s">
        <v>61</v>
      </c>
      <c r="B2" s="21"/>
      <c r="C2" s="19">
        <v>85000</v>
      </c>
      <c r="D2" s="22">
        <f t="shared" ref="D2:D8" si="0">C2/E2</f>
        <v>40.865384615384613</v>
      </c>
      <c r="E2" s="24">
        <f t="shared" ref="E2:E8" si="1">SUM(F2:I2)</f>
        <v>2080</v>
      </c>
      <c r="F2" s="24">
        <f>208</f>
        <v>208</v>
      </c>
      <c r="G2" s="24">
        <v>1560</v>
      </c>
      <c r="H2" s="24">
        <f>2080-1872</f>
        <v>208</v>
      </c>
      <c r="I2" s="24">
        <v>104</v>
      </c>
    </row>
    <row r="3" spans="1:9" x14ac:dyDescent="0.25">
      <c r="A3" s="5" t="s">
        <v>62</v>
      </c>
      <c r="B3" s="5"/>
      <c r="C3" s="19">
        <v>70000</v>
      </c>
      <c r="D3" s="22">
        <f t="shared" si="0"/>
        <v>33.653846153846153</v>
      </c>
      <c r="E3" s="24">
        <f t="shared" si="1"/>
        <v>2080</v>
      </c>
      <c r="F3" s="24">
        <f>1040/2</f>
        <v>520</v>
      </c>
      <c r="G3" s="24">
        <v>520</v>
      </c>
      <c r="H3" s="24"/>
      <c r="I3" s="24">
        <v>1040</v>
      </c>
    </row>
    <row r="4" spans="1:9" x14ac:dyDescent="0.25">
      <c r="A4" s="5" t="s">
        <v>63</v>
      </c>
      <c r="B4" s="5"/>
      <c r="C4" s="19">
        <v>60000</v>
      </c>
      <c r="D4" s="22">
        <f t="shared" si="0"/>
        <v>28.846153846153847</v>
      </c>
      <c r="E4" s="24">
        <f t="shared" si="1"/>
        <v>2080</v>
      </c>
      <c r="F4" s="24">
        <v>936</v>
      </c>
      <c r="G4" s="24">
        <f>1872/2</f>
        <v>936</v>
      </c>
      <c r="H4" s="24">
        <v>104</v>
      </c>
      <c r="I4" s="24">
        <v>104</v>
      </c>
    </row>
    <row r="5" spans="1:9" x14ac:dyDescent="0.25">
      <c r="A5" s="5" t="s">
        <v>65</v>
      </c>
      <c r="B5" s="5"/>
      <c r="C5" s="19">
        <v>55000</v>
      </c>
      <c r="D5" s="22">
        <f t="shared" si="0"/>
        <v>26.442307692307693</v>
      </c>
      <c r="E5" s="24">
        <f t="shared" si="1"/>
        <v>2080</v>
      </c>
      <c r="F5" s="24"/>
      <c r="G5" s="24"/>
      <c r="H5" s="24">
        <v>2080</v>
      </c>
      <c r="I5" s="24"/>
    </row>
    <row r="6" spans="1:9" x14ac:dyDescent="0.25">
      <c r="A6" s="5" t="s">
        <v>72</v>
      </c>
      <c r="B6" s="5"/>
      <c r="C6" s="19">
        <v>40000</v>
      </c>
      <c r="D6" s="22">
        <f t="shared" si="0"/>
        <v>19.23076923076923</v>
      </c>
      <c r="E6" s="24">
        <f t="shared" si="1"/>
        <v>2080</v>
      </c>
      <c r="F6" s="24">
        <f>520/2</f>
        <v>260</v>
      </c>
      <c r="G6" s="24">
        <v>260</v>
      </c>
      <c r="H6" s="24"/>
      <c r="I6" s="24">
        <v>1560</v>
      </c>
    </row>
    <row r="7" spans="1:9" x14ac:dyDescent="0.25">
      <c r="A7" s="5" t="s">
        <v>64</v>
      </c>
      <c r="B7" s="5"/>
      <c r="C7" s="19">
        <v>37000</v>
      </c>
      <c r="D7" s="22">
        <f t="shared" si="0"/>
        <v>17.78846153846154</v>
      </c>
      <c r="E7" s="24">
        <f t="shared" si="1"/>
        <v>2080</v>
      </c>
      <c r="F7" s="24"/>
      <c r="G7" s="24">
        <v>2080</v>
      </c>
      <c r="H7" s="24"/>
      <c r="I7" s="24"/>
    </row>
    <row r="8" spans="1:9" x14ac:dyDescent="0.25">
      <c r="A8" s="5" t="s">
        <v>64</v>
      </c>
      <c r="B8" s="5"/>
      <c r="C8" s="19">
        <v>37000</v>
      </c>
      <c r="D8" s="22">
        <f t="shared" si="0"/>
        <v>17.78846153846154</v>
      </c>
      <c r="E8" s="24">
        <f t="shared" si="1"/>
        <v>2080</v>
      </c>
      <c r="F8" s="24">
        <v>1040</v>
      </c>
      <c r="G8" s="24">
        <v>1040</v>
      </c>
      <c r="H8" s="24"/>
      <c r="I8" s="24"/>
    </row>
    <row r="9" spans="1:9" x14ac:dyDescent="0.25">
      <c r="A9" s="3" t="s">
        <v>73</v>
      </c>
      <c r="B9" s="58" t="s">
        <v>67</v>
      </c>
      <c r="C9" s="9"/>
      <c r="D9" s="9"/>
      <c r="E9" s="9"/>
      <c r="F9" s="9"/>
      <c r="G9" s="9"/>
      <c r="H9" s="9"/>
      <c r="I9" s="9"/>
    </row>
    <row r="10" spans="1:9" x14ac:dyDescent="0.25">
      <c r="A10" s="21" t="s">
        <v>74</v>
      </c>
      <c r="B10" s="21"/>
      <c r="C10" s="25">
        <v>18</v>
      </c>
      <c r="D10" s="22">
        <v>18</v>
      </c>
      <c r="E10" s="24">
        <f>SUM(F10:I10)</f>
        <v>832</v>
      </c>
      <c r="F10" s="24"/>
      <c r="G10" s="24">
        <v>832</v>
      </c>
      <c r="H10" s="24"/>
      <c r="I10" s="24"/>
    </row>
    <row r="11" spans="1:9" x14ac:dyDescent="0.25">
      <c r="A11" s="5" t="s">
        <v>64</v>
      </c>
      <c r="B11" s="5"/>
      <c r="C11" s="25">
        <v>18</v>
      </c>
      <c r="D11" s="22">
        <v>18</v>
      </c>
      <c r="E11" s="24">
        <f>SUM(F11:I11)</f>
        <v>1664</v>
      </c>
      <c r="F11" s="24"/>
      <c r="G11" s="24">
        <v>1664</v>
      </c>
      <c r="H11" s="24"/>
      <c r="I11" s="24"/>
    </row>
    <row r="12" spans="1:9" x14ac:dyDescent="0.25">
      <c r="A12" s="5" t="s">
        <v>75</v>
      </c>
      <c r="B12" s="5"/>
      <c r="C12" s="25">
        <v>13.5</v>
      </c>
      <c r="D12" s="22">
        <v>13.5</v>
      </c>
      <c r="E12" s="24">
        <f>SUM(F12:I12)</f>
        <v>1664</v>
      </c>
      <c r="F12" s="24">
        <v>416</v>
      </c>
      <c r="G12" s="24">
        <v>416</v>
      </c>
      <c r="H12" s="24">
        <v>416</v>
      </c>
      <c r="I12" s="24">
        <v>416</v>
      </c>
    </row>
    <row r="13" spans="1:9" x14ac:dyDescent="0.25">
      <c r="A13" s="5" t="s">
        <v>76</v>
      </c>
      <c r="B13" s="5"/>
      <c r="C13" s="25">
        <v>15</v>
      </c>
      <c r="D13" s="22">
        <f>C13</f>
        <v>15</v>
      </c>
      <c r="E13" s="24">
        <f>SUM(F13:I13)</f>
        <v>1664</v>
      </c>
      <c r="F13" s="24">
        <v>548</v>
      </c>
      <c r="G13" s="24">
        <v>548</v>
      </c>
      <c r="H13" s="24">
        <v>20</v>
      </c>
      <c r="I13" s="24">
        <v>548</v>
      </c>
    </row>
    <row r="15" spans="1:9" x14ac:dyDescent="0.25">
      <c r="E15" s="26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39CF8-3EBA-4768-A616-49F30D7CACEE}">
  <dimension ref="A1:H16"/>
  <sheetViews>
    <sheetView workbookViewId="0">
      <selection activeCell="B1" sqref="B1:B1048576"/>
    </sheetView>
  </sheetViews>
  <sheetFormatPr defaultRowHeight="15" x14ac:dyDescent="0.25"/>
  <cols>
    <col min="1" max="1" width="28" bestFit="1" customWidth="1"/>
    <col min="2" max="2" width="14.7109375" bestFit="1" customWidth="1"/>
    <col min="3" max="3" width="14.7109375" customWidth="1"/>
    <col min="4" max="4" width="12.85546875" customWidth="1"/>
    <col min="5" max="5" width="13.5703125" customWidth="1"/>
    <col min="6" max="6" width="16" customWidth="1"/>
    <col min="7" max="7" width="16.7109375" bestFit="1" customWidth="1"/>
    <col min="8" max="8" width="16.5703125" bestFit="1" customWidth="1"/>
  </cols>
  <sheetData>
    <row r="1" spans="1:8" ht="26.25" x14ac:dyDescent="0.25">
      <c r="A1" s="3" t="s">
        <v>66</v>
      </c>
      <c r="B1" s="3" t="s">
        <v>67</v>
      </c>
      <c r="C1" s="3" t="s">
        <v>89</v>
      </c>
      <c r="D1" s="3" t="s">
        <v>70</v>
      </c>
      <c r="E1" s="3" t="s">
        <v>1</v>
      </c>
      <c r="F1" s="3" t="s">
        <v>2</v>
      </c>
      <c r="G1" s="23" t="s">
        <v>92</v>
      </c>
      <c r="H1" s="4" t="s">
        <v>3</v>
      </c>
    </row>
    <row r="2" spans="1:8" x14ac:dyDescent="0.25">
      <c r="A2" s="21" t="s">
        <v>61</v>
      </c>
      <c r="B2" s="5"/>
      <c r="C2" s="19">
        <v>85000</v>
      </c>
      <c r="D2" s="22">
        <f>C2/'B. Personnel Allocation'!E2</f>
        <v>40.865384615384613</v>
      </c>
      <c r="E2" s="19">
        <f>'B. Personnel Allocation'!F2*'B. Personnel Allocation'!D2</f>
        <v>8500</v>
      </c>
      <c r="F2" s="19">
        <f>'B. Personnel Allocation'!G2*'B. Personnel Allocation'!D2</f>
        <v>63750</v>
      </c>
      <c r="G2" s="19">
        <f>'B. Personnel Allocation'!H2*'B. Personnel Allocation'!D2</f>
        <v>8500</v>
      </c>
      <c r="H2" s="19">
        <f>'B. Personnel Allocation'!I2*'B. Personnel Allocation'!D2</f>
        <v>4250</v>
      </c>
    </row>
    <row r="3" spans="1:8" x14ac:dyDescent="0.25">
      <c r="A3" s="5" t="s">
        <v>62</v>
      </c>
      <c r="B3" s="5"/>
      <c r="C3" s="19">
        <v>70000</v>
      </c>
      <c r="D3" s="22">
        <f>C3/'B. Personnel Allocation'!E3</f>
        <v>33.653846153846153</v>
      </c>
      <c r="E3" s="19">
        <f>'B. Personnel Allocation'!F3*'B. Personnel Allocation'!D3</f>
        <v>17500</v>
      </c>
      <c r="F3" s="19">
        <f>'B. Personnel Allocation'!G3*'B. Personnel Allocation'!D3</f>
        <v>17500</v>
      </c>
      <c r="G3" s="19">
        <f>'B. Personnel Allocation'!H3*'B. Personnel Allocation'!D3</f>
        <v>0</v>
      </c>
      <c r="H3" s="19">
        <f>'B. Personnel Allocation'!I3*'B. Personnel Allocation'!D3</f>
        <v>35000</v>
      </c>
    </row>
    <row r="4" spans="1:8" x14ac:dyDescent="0.25">
      <c r="A4" s="5" t="s">
        <v>63</v>
      </c>
      <c r="B4" s="5"/>
      <c r="C4" s="19">
        <v>60000</v>
      </c>
      <c r="D4" s="22">
        <f>C4/'B. Personnel Allocation'!E4</f>
        <v>28.846153846153847</v>
      </c>
      <c r="E4" s="19">
        <f>'B. Personnel Allocation'!F4*'B. Personnel Allocation'!D4</f>
        <v>27000</v>
      </c>
      <c r="F4" s="19">
        <f>'B. Personnel Allocation'!G4*'B. Personnel Allocation'!D4</f>
        <v>27000</v>
      </c>
      <c r="G4" s="19">
        <f>'B. Personnel Allocation'!H4*'B. Personnel Allocation'!D4</f>
        <v>3000</v>
      </c>
      <c r="H4" s="19">
        <f>'B. Personnel Allocation'!I4*'B. Personnel Allocation'!D4</f>
        <v>3000</v>
      </c>
    </row>
    <row r="5" spans="1:8" x14ac:dyDescent="0.25">
      <c r="A5" s="5" t="s">
        <v>65</v>
      </c>
      <c r="B5" s="5"/>
      <c r="C5" s="19">
        <v>55000</v>
      </c>
      <c r="D5" s="22">
        <f>C5/'B. Personnel Allocation'!E5</f>
        <v>26.442307692307693</v>
      </c>
      <c r="E5" s="19">
        <f>'B. Personnel Allocation'!F5*'B. Personnel Allocation'!D5</f>
        <v>0</v>
      </c>
      <c r="F5" s="19">
        <f>'B. Personnel Allocation'!G5*'B. Personnel Allocation'!D5</f>
        <v>0</v>
      </c>
      <c r="G5" s="19">
        <f>'B. Personnel Allocation'!H5*'B. Personnel Allocation'!D5</f>
        <v>55000</v>
      </c>
      <c r="H5" s="19">
        <f>'B. Personnel Allocation'!I5*'B. Personnel Allocation'!D5</f>
        <v>0</v>
      </c>
    </row>
    <row r="6" spans="1:8" x14ac:dyDescent="0.25">
      <c r="A6" s="5" t="s">
        <v>72</v>
      </c>
      <c r="B6" s="5"/>
      <c r="C6" s="19">
        <v>40000</v>
      </c>
      <c r="D6" s="22">
        <f>C6/'B. Personnel Allocation'!E6</f>
        <v>19.23076923076923</v>
      </c>
      <c r="E6" s="19">
        <f>'B. Personnel Allocation'!F6*'B. Personnel Allocation'!D6</f>
        <v>5000</v>
      </c>
      <c r="F6" s="19">
        <f>'B. Personnel Allocation'!G6*'B. Personnel Allocation'!D6</f>
        <v>5000</v>
      </c>
      <c r="G6" s="19">
        <f>'B. Personnel Allocation'!H6*'B. Personnel Allocation'!D6</f>
        <v>0</v>
      </c>
      <c r="H6" s="19">
        <f>'B. Personnel Allocation'!I6*'B. Personnel Allocation'!D6</f>
        <v>30000</v>
      </c>
    </row>
    <row r="7" spans="1:8" x14ac:dyDescent="0.25">
      <c r="A7" s="5" t="s">
        <v>64</v>
      </c>
      <c r="B7" s="5"/>
      <c r="C7" s="19">
        <v>37000</v>
      </c>
      <c r="D7" s="22">
        <f>C7/'B. Personnel Allocation'!E7</f>
        <v>17.78846153846154</v>
      </c>
      <c r="E7" s="19">
        <f>'B. Personnel Allocation'!F7*'B. Personnel Allocation'!D7</f>
        <v>0</v>
      </c>
      <c r="F7" s="19">
        <f>'B. Personnel Allocation'!G7*'B. Personnel Allocation'!D7</f>
        <v>37000</v>
      </c>
      <c r="G7" s="19">
        <f>'B. Personnel Allocation'!H7*'B. Personnel Allocation'!D7</f>
        <v>0</v>
      </c>
      <c r="H7" s="19">
        <f>'B. Personnel Allocation'!I7*'B. Personnel Allocation'!D7</f>
        <v>0</v>
      </c>
    </row>
    <row r="8" spans="1:8" x14ac:dyDescent="0.25">
      <c r="A8" s="5" t="s">
        <v>64</v>
      </c>
      <c r="B8" s="5"/>
      <c r="C8" s="19">
        <v>37000</v>
      </c>
      <c r="D8" s="22">
        <f>C8/'B. Personnel Allocation'!E8</f>
        <v>17.78846153846154</v>
      </c>
      <c r="E8" s="19">
        <f>'B. Personnel Allocation'!F8*'B. Personnel Allocation'!D8</f>
        <v>18500</v>
      </c>
      <c r="F8" s="19">
        <f>'B. Personnel Allocation'!G8*'B. Personnel Allocation'!D8</f>
        <v>18500</v>
      </c>
      <c r="G8" s="19">
        <f>'B. Personnel Allocation'!H8*'B. Personnel Allocation'!D8</f>
        <v>0</v>
      </c>
      <c r="H8" s="19">
        <f>'B. Personnel Allocation'!I8*'B. Personnel Allocation'!D8</f>
        <v>0</v>
      </c>
    </row>
    <row r="9" spans="1:8" x14ac:dyDescent="0.25">
      <c r="A9" s="6" t="s">
        <v>87</v>
      </c>
      <c r="B9" s="5"/>
      <c r="C9" s="28">
        <f>SUM(C2:C8)</f>
        <v>384000</v>
      </c>
      <c r="D9" s="28">
        <f>SUM(D2:D8)</f>
        <v>184.61538461538464</v>
      </c>
      <c r="E9" s="28">
        <f t="shared" ref="E9:H9" si="0">SUM(E2:E8)</f>
        <v>76500</v>
      </c>
      <c r="F9" s="28">
        <f t="shared" si="0"/>
        <v>168750</v>
      </c>
      <c r="G9" s="28">
        <f t="shared" si="0"/>
        <v>66500</v>
      </c>
      <c r="H9" s="28">
        <f t="shared" si="0"/>
        <v>72250</v>
      </c>
    </row>
    <row r="10" spans="1:8" x14ac:dyDescent="0.25">
      <c r="A10" s="35" t="s">
        <v>73</v>
      </c>
      <c r="B10" s="9"/>
      <c r="C10" s="9"/>
      <c r="D10" s="9"/>
      <c r="E10" s="9"/>
      <c r="F10" s="9"/>
      <c r="G10" s="9"/>
      <c r="H10" s="9"/>
    </row>
    <row r="11" spans="1:8" x14ac:dyDescent="0.25">
      <c r="A11" s="21" t="s">
        <v>74</v>
      </c>
      <c r="B11" s="5"/>
      <c r="C11" s="24">
        <f>SUM(E11:H11)</f>
        <v>14976</v>
      </c>
      <c r="D11" s="25">
        <v>18</v>
      </c>
      <c r="E11" s="19">
        <f>'B. Personnel Allocation'!F10*'B. Personnel Allocation'!D10</f>
        <v>0</v>
      </c>
      <c r="F11" s="19">
        <f>'B. Personnel Allocation'!G10*'B. Personnel Allocation'!D10</f>
        <v>14976</v>
      </c>
      <c r="G11" s="19">
        <f>'B. Personnel Allocation'!H10*'B. Personnel Allocation'!D10</f>
        <v>0</v>
      </c>
      <c r="H11" s="19">
        <f>'B. Personnel Allocation'!I10*'B. Personnel Allocation'!D10</f>
        <v>0</v>
      </c>
    </row>
    <row r="12" spans="1:8" x14ac:dyDescent="0.25">
      <c r="A12" s="5" t="s">
        <v>64</v>
      </c>
      <c r="B12" s="5"/>
      <c r="C12" s="24">
        <f t="shared" ref="C12:C14" si="1">SUM(E12:H12)</f>
        <v>29952</v>
      </c>
      <c r="D12" s="25">
        <v>18</v>
      </c>
      <c r="E12" s="19">
        <f>'B. Personnel Allocation'!F11*'B. Personnel Allocation'!D11</f>
        <v>0</v>
      </c>
      <c r="F12" s="19">
        <f>'B. Personnel Allocation'!G11*'B. Personnel Allocation'!D11</f>
        <v>29952</v>
      </c>
      <c r="G12" s="19">
        <f>'B. Personnel Allocation'!H11*'B. Personnel Allocation'!D11</f>
        <v>0</v>
      </c>
      <c r="H12" s="19">
        <f>'B. Personnel Allocation'!I11*'B. Personnel Allocation'!D11</f>
        <v>0</v>
      </c>
    </row>
    <row r="13" spans="1:8" x14ac:dyDescent="0.25">
      <c r="A13" s="5" t="s">
        <v>75</v>
      </c>
      <c r="B13" s="5"/>
      <c r="C13" s="24">
        <f t="shared" si="1"/>
        <v>22464</v>
      </c>
      <c r="D13" s="25">
        <v>13.5</v>
      </c>
      <c r="E13" s="19">
        <f>'B. Personnel Allocation'!F12*'B. Personnel Allocation'!D12</f>
        <v>5616</v>
      </c>
      <c r="F13" s="19">
        <f>'B. Personnel Allocation'!G12*'B. Personnel Allocation'!D12</f>
        <v>5616</v>
      </c>
      <c r="G13" s="19">
        <f>'B. Personnel Allocation'!H12*'B. Personnel Allocation'!D12</f>
        <v>5616</v>
      </c>
      <c r="H13" s="19">
        <f>'B. Personnel Allocation'!I12*'B. Personnel Allocation'!D12</f>
        <v>5616</v>
      </c>
    </row>
    <row r="14" spans="1:8" x14ac:dyDescent="0.25">
      <c r="A14" s="5" t="s">
        <v>76</v>
      </c>
      <c r="B14" s="5"/>
      <c r="C14" s="24">
        <f t="shared" si="1"/>
        <v>24960</v>
      </c>
      <c r="D14" s="25">
        <v>15</v>
      </c>
      <c r="E14" s="19">
        <f>'B. Personnel Allocation'!F13*'B. Personnel Allocation'!D13</f>
        <v>8220</v>
      </c>
      <c r="F14" s="19">
        <f>'B. Personnel Allocation'!G13*'B. Personnel Allocation'!D13</f>
        <v>8220</v>
      </c>
      <c r="G14" s="19">
        <f>'B. Personnel Allocation'!H13*'B. Personnel Allocation'!D13</f>
        <v>300</v>
      </c>
      <c r="H14" s="19">
        <f>'B. Personnel Allocation'!I13*'B. Personnel Allocation'!D13</f>
        <v>8220</v>
      </c>
    </row>
    <row r="15" spans="1:8" x14ac:dyDescent="0.25">
      <c r="A15" s="34" t="s">
        <v>88</v>
      </c>
      <c r="B15" s="5"/>
      <c r="C15" s="28">
        <f>SUM(C11:C14)</f>
        <v>92352</v>
      </c>
      <c r="D15" s="36"/>
      <c r="E15" s="28">
        <f>SUM(E11:E14)</f>
        <v>13836</v>
      </c>
      <c r="F15" s="28">
        <f t="shared" ref="F15:H15" si="2">SUM(F11:F14)</f>
        <v>58764</v>
      </c>
      <c r="G15" s="28">
        <f t="shared" si="2"/>
        <v>5916</v>
      </c>
      <c r="H15" s="28">
        <f t="shared" si="2"/>
        <v>13836</v>
      </c>
    </row>
    <row r="16" spans="1:8" x14ac:dyDescent="0.25">
      <c r="A16" s="60" t="s">
        <v>78</v>
      </c>
      <c r="B16" s="60"/>
      <c r="C16" s="60"/>
      <c r="D16" s="60"/>
      <c r="E16" s="29">
        <f>E9+E15</f>
        <v>90336</v>
      </c>
      <c r="F16" s="29">
        <f t="shared" ref="F16:H16" si="3">F9+F15</f>
        <v>227514</v>
      </c>
      <c r="G16" s="29">
        <f t="shared" si="3"/>
        <v>72416</v>
      </c>
      <c r="H16" s="29">
        <f t="shared" si="3"/>
        <v>86086</v>
      </c>
    </row>
  </sheetData>
  <mergeCells count="1">
    <mergeCell ref="A16:D1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3D6B4-31DB-4D1F-905B-A492317E2317}">
  <dimension ref="A1:P16"/>
  <sheetViews>
    <sheetView tabSelected="1" workbookViewId="0">
      <selection activeCell="H32" sqref="H32"/>
    </sheetView>
  </sheetViews>
  <sheetFormatPr defaultRowHeight="15" x14ac:dyDescent="0.25"/>
  <cols>
    <col min="1" max="1" width="28" bestFit="1" customWidth="1"/>
    <col min="2" max="2" width="14.7109375" bestFit="1" customWidth="1"/>
    <col min="3" max="3" width="13.7109375" customWidth="1"/>
    <col min="4" max="4" width="17.7109375" customWidth="1"/>
    <col min="5" max="5" width="18.140625" customWidth="1"/>
    <col min="6" max="6" width="16.5703125" bestFit="1" customWidth="1"/>
    <col min="7" max="7" width="12.140625" customWidth="1"/>
    <col min="8" max="8" width="12.7109375" customWidth="1"/>
    <col min="10" max="10" width="13" customWidth="1"/>
    <col min="13" max="14" width="12.7109375" customWidth="1"/>
    <col min="15" max="15" width="16.7109375" bestFit="1" customWidth="1"/>
    <col min="16" max="16" width="16.5703125" bestFit="1" customWidth="1"/>
  </cols>
  <sheetData>
    <row r="1" spans="1:16" ht="26.25" x14ac:dyDescent="0.25">
      <c r="A1" s="3" t="s">
        <v>66</v>
      </c>
      <c r="B1" s="31" t="s">
        <v>67</v>
      </c>
      <c r="C1" s="31" t="s">
        <v>79</v>
      </c>
      <c r="D1" s="31" t="s">
        <v>80</v>
      </c>
      <c r="E1" s="32" t="s">
        <v>81</v>
      </c>
      <c r="F1" s="33" t="s">
        <v>82</v>
      </c>
      <c r="G1" s="30" t="s">
        <v>83</v>
      </c>
      <c r="H1" s="30" t="s">
        <v>84</v>
      </c>
      <c r="I1" s="30" t="s">
        <v>85</v>
      </c>
      <c r="J1" s="30" t="s">
        <v>86</v>
      </c>
      <c r="K1" s="30" t="s">
        <v>77</v>
      </c>
      <c r="L1" s="9"/>
      <c r="M1" s="3" t="s">
        <v>1</v>
      </c>
      <c r="N1" s="3" t="s">
        <v>2</v>
      </c>
      <c r="O1" s="23" t="s">
        <v>92</v>
      </c>
      <c r="P1" s="4" t="s">
        <v>3</v>
      </c>
    </row>
    <row r="2" spans="1:16" x14ac:dyDescent="0.25">
      <c r="A2" s="21" t="s">
        <v>61</v>
      </c>
      <c r="B2" s="5"/>
      <c r="C2" s="19">
        <v>7000</v>
      </c>
      <c r="D2" s="19">
        <v>500</v>
      </c>
      <c r="E2" s="19">
        <f>25*12</f>
        <v>300</v>
      </c>
      <c r="F2" s="19">
        <f>10*12</f>
        <v>120</v>
      </c>
      <c r="G2" s="19">
        <v>400</v>
      </c>
      <c r="H2" s="19">
        <v>500</v>
      </c>
      <c r="I2" s="19">
        <f>0.03*'C. Salary Allocation'!D2</f>
        <v>1.2259615384615383</v>
      </c>
      <c r="J2" s="19">
        <f>'B. Personnel Allocation'!C2*0.0775</f>
        <v>6587.5</v>
      </c>
      <c r="K2" s="19">
        <f>SUM(C2:J2)</f>
        <v>15408.725961538461</v>
      </c>
      <c r="L2" s="9"/>
      <c r="M2" s="19">
        <f>'C. Salary Allocation'!E2*B15</f>
        <v>1695.6955128205132</v>
      </c>
      <c r="N2" s="19">
        <f>'C. Salary Allocation'!F2*B15</f>
        <v>12717.716346153848</v>
      </c>
      <c r="O2" s="19">
        <f>'C. Salary Allocation'!G2*B15</f>
        <v>1695.6955128205132</v>
      </c>
      <c r="P2" s="19">
        <f>'C. Salary Allocation'!H2*B15</f>
        <v>847.84775641025658</v>
      </c>
    </row>
    <row r="3" spans="1:16" x14ac:dyDescent="0.25">
      <c r="A3" s="5" t="s">
        <v>62</v>
      </c>
      <c r="B3" s="5"/>
      <c r="C3" s="19">
        <v>6500</v>
      </c>
      <c r="D3" s="19">
        <v>300</v>
      </c>
      <c r="E3" s="19">
        <v>300</v>
      </c>
      <c r="F3" s="19">
        <v>120</v>
      </c>
      <c r="G3" s="19">
        <v>200</v>
      </c>
      <c r="H3" s="19">
        <v>400</v>
      </c>
      <c r="I3" s="19">
        <f>0.03*'C. Salary Allocation'!D3</f>
        <v>1.0096153846153846</v>
      </c>
      <c r="J3" s="19">
        <f>'B. Personnel Allocation'!C3*0.0775</f>
        <v>5425</v>
      </c>
      <c r="K3" s="19">
        <f t="shared" ref="K3:K8" si="0">SUM(C3:J3)</f>
        <v>13246.009615384615</v>
      </c>
      <c r="L3" s="9"/>
      <c r="M3" s="19">
        <f>'C. Salary Allocation'!E3*B15</f>
        <v>3491.1378205128212</v>
      </c>
      <c r="N3" s="19">
        <f>'C. Salary Allocation'!F3*B15</f>
        <v>3491.1378205128212</v>
      </c>
      <c r="O3" s="19">
        <f>'C. Salary Allocation'!G3*B15</f>
        <v>0</v>
      </c>
      <c r="P3" s="19">
        <f>'C. Salary Allocation'!H3*B15</f>
        <v>6982.2756410256425</v>
      </c>
    </row>
    <row r="4" spans="1:16" x14ac:dyDescent="0.25">
      <c r="A4" s="5" t="s">
        <v>63</v>
      </c>
      <c r="B4" s="5"/>
      <c r="C4" s="19">
        <v>5000</v>
      </c>
      <c r="D4" s="19">
        <v>300</v>
      </c>
      <c r="E4" s="19">
        <v>300</v>
      </c>
      <c r="F4" s="19">
        <v>120</v>
      </c>
      <c r="G4" s="19">
        <v>200</v>
      </c>
      <c r="H4" s="19">
        <v>400</v>
      </c>
      <c r="I4" s="19">
        <f>0.03*'C. Salary Allocation'!D4</f>
        <v>0.86538461538461542</v>
      </c>
      <c r="J4" s="19">
        <f>'B. Personnel Allocation'!C4*0.0775</f>
        <v>4650</v>
      </c>
      <c r="K4" s="19">
        <f t="shared" si="0"/>
        <v>10970.865384615385</v>
      </c>
      <c r="L4" s="9"/>
      <c r="M4" s="19">
        <f>'C. Salary Allocation'!E4*B15</f>
        <v>5386.3269230769238</v>
      </c>
      <c r="N4" s="19">
        <f>'C. Salary Allocation'!F4*B15</f>
        <v>5386.3269230769238</v>
      </c>
      <c r="O4" s="19">
        <f>'C. Salary Allocation'!G4*B15</f>
        <v>598.48076923076928</v>
      </c>
      <c r="P4" s="19">
        <f>'C. Salary Allocation'!H4*B15</f>
        <v>598.48076923076928</v>
      </c>
    </row>
    <row r="5" spans="1:16" x14ac:dyDescent="0.25">
      <c r="A5" s="5" t="s">
        <v>65</v>
      </c>
      <c r="B5" s="5"/>
      <c r="C5" s="19">
        <v>5000</v>
      </c>
      <c r="D5" s="19">
        <v>200</v>
      </c>
      <c r="E5" s="19">
        <v>300</v>
      </c>
      <c r="F5" s="19">
        <v>120</v>
      </c>
      <c r="G5" s="19">
        <v>100</v>
      </c>
      <c r="H5" s="19">
        <v>300</v>
      </c>
      <c r="I5" s="19">
        <f>0.03*'C. Salary Allocation'!D5</f>
        <v>0.79326923076923073</v>
      </c>
      <c r="J5" s="19">
        <f>'B. Personnel Allocation'!C5*0.0775</f>
        <v>4262.5</v>
      </c>
      <c r="K5" s="19">
        <f t="shared" si="0"/>
        <v>10283.29326923077</v>
      </c>
      <c r="L5" s="9"/>
      <c r="M5" s="19">
        <f>'C. Salary Allocation'!E5*B15</f>
        <v>0</v>
      </c>
      <c r="N5" s="19">
        <f>'C. Salary Allocation'!F5*B15</f>
        <v>0</v>
      </c>
      <c r="O5" s="19">
        <f>'C. Salary Allocation'!G5*B15</f>
        <v>10972.147435897437</v>
      </c>
      <c r="P5" s="19">
        <f>'C. Salary Allocation'!H5*B15</f>
        <v>0</v>
      </c>
    </row>
    <row r="6" spans="1:16" x14ac:dyDescent="0.25">
      <c r="A6" s="5" t="s">
        <v>72</v>
      </c>
      <c r="B6" s="5"/>
      <c r="C6" s="19">
        <v>5000</v>
      </c>
      <c r="D6" s="19">
        <v>200</v>
      </c>
      <c r="E6" s="19">
        <v>300</v>
      </c>
      <c r="F6" s="19">
        <v>120</v>
      </c>
      <c r="G6" s="19">
        <v>100</v>
      </c>
      <c r="H6" s="19">
        <v>300</v>
      </c>
      <c r="I6" s="19">
        <f>0.03*'C. Salary Allocation'!D6</f>
        <v>0.57692307692307687</v>
      </c>
      <c r="J6" s="19">
        <f>'B. Personnel Allocation'!C6*0.0775</f>
        <v>3100</v>
      </c>
      <c r="K6" s="19">
        <f t="shared" si="0"/>
        <v>9120.576923076922</v>
      </c>
      <c r="L6" s="9"/>
      <c r="M6" s="19">
        <f>'C. Salary Allocation'!E6*B15</f>
        <v>997.46794871794884</v>
      </c>
      <c r="N6" s="19">
        <f>'C. Salary Allocation'!F6*B6</f>
        <v>0</v>
      </c>
      <c r="O6" s="19">
        <f>'C. Salary Allocation'!G6*B15</f>
        <v>0</v>
      </c>
      <c r="P6" s="19">
        <f>'C. Salary Allocation'!H6*B15</f>
        <v>5984.8076923076933</v>
      </c>
    </row>
    <row r="7" spans="1:16" x14ac:dyDescent="0.25">
      <c r="A7" s="5" t="s">
        <v>64</v>
      </c>
      <c r="B7" s="5"/>
      <c r="C7" s="19">
        <v>5000</v>
      </c>
      <c r="D7" s="19">
        <v>200</v>
      </c>
      <c r="E7" s="19">
        <v>300</v>
      </c>
      <c r="F7" s="19">
        <v>120</v>
      </c>
      <c r="G7" s="19">
        <v>100</v>
      </c>
      <c r="H7" s="19">
        <v>200</v>
      </c>
      <c r="I7" s="19">
        <f>0.03*'C. Salary Allocation'!D7</f>
        <v>0.53365384615384615</v>
      </c>
      <c r="J7" s="19">
        <f>'B. Personnel Allocation'!C7*0.0775</f>
        <v>2867.5</v>
      </c>
      <c r="K7" s="19">
        <f t="shared" si="0"/>
        <v>8788.0336538461543</v>
      </c>
      <c r="L7" s="9"/>
      <c r="M7" s="19">
        <f>'C. Salary Allocation'!E7*B15</f>
        <v>0</v>
      </c>
      <c r="N7" s="19">
        <f>'C. Salary Allocation'!F7*B15</f>
        <v>7381.2628205128212</v>
      </c>
      <c r="O7" s="19">
        <f>'C. Salary Allocation'!G7*B15</f>
        <v>0</v>
      </c>
      <c r="P7" s="19">
        <f>'C. Salary Allocation'!H7*B15</f>
        <v>0</v>
      </c>
    </row>
    <row r="8" spans="1:16" x14ac:dyDescent="0.25">
      <c r="A8" s="5" t="s">
        <v>64</v>
      </c>
      <c r="B8" s="5"/>
      <c r="C8" s="19">
        <v>5000</v>
      </c>
      <c r="D8" s="19">
        <v>200</v>
      </c>
      <c r="E8" s="19">
        <v>300</v>
      </c>
      <c r="F8" s="19">
        <v>120</v>
      </c>
      <c r="G8" s="19">
        <v>100</v>
      </c>
      <c r="H8" s="19">
        <v>200</v>
      </c>
      <c r="I8" s="19">
        <f>0.03*'C. Salary Allocation'!D8</f>
        <v>0.53365384615384615</v>
      </c>
      <c r="J8" s="19">
        <f>'B. Personnel Allocation'!C8*0.0775</f>
        <v>2867.5</v>
      </c>
      <c r="K8" s="19">
        <f t="shared" si="0"/>
        <v>8788.0336538461543</v>
      </c>
      <c r="L8" s="9"/>
      <c r="M8" s="38">
        <f>'C. Salary Allocation'!E8*B15</f>
        <v>3690.6314102564106</v>
      </c>
      <c r="N8" s="38">
        <f>'C. Salary Allocation'!F8*B15</f>
        <v>3690.6314102564106</v>
      </c>
      <c r="O8" s="38">
        <f>'C. Salary Allocation'!G8*B15</f>
        <v>0</v>
      </c>
      <c r="P8" s="38">
        <f>'C. Salary Allocation'!H8*B15</f>
        <v>0</v>
      </c>
    </row>
    <row r="9" spans="1:16" x14ac:dyDescent="0.25">
      <c r="A9" s="3" t="s">
        <v>73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40"/>
      <c r="N9" s="40"/>
      <c r="O9" s="40"/>
      <c r="P9" s="40"/>
    </row>
    <row r="10" spans="1:16" x14ac:dyDescent="0.25">
      <c r="A10" s="21" t="s">
        <v>74</v>
      </c>
      <c r="B10" s="5"/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f>0.0775*'C. Salary Allocation'!C11</f>
        <v>1160.6400000000001</v>
      </c>
      <c r="K10" s="19">
        <f>SUM(B10:J10)</f>
        <v>1160.6400000000001</v>
      </c>
      <c r="L10" s="9"/>
      <c r="M10" s="39">
        <f>'C. Salary Allocation'!E10*B16</f>
        <v>0</v>
      </c>
      <c r="N10" s="39">
        <f>'C. Salary Allocation'!F10*B16</f>
        <v>0</v>
      </c>
      <c r="O10" s="39">
        <f>'C. Salary Allocation'!G10*B16</f>
        <v>0</v>
      </c>
      <c r="P10" s="39">
        <f>'C. Salary Allocation'!H10*B16</f>
        <v>0</v>
      </c>
    </row>
    <row r="11" spans="1:16" x14ac:dyDescent="0.25">
      <c r="A11" s="5" t="s">
        <v>64</v>
      </c>
      <c r="B11" s="5"/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f>0.0775*'C. Salary Allocation'!C12</f>
        <v>2321.2800000000002</v>
      </c>
      <c r="K11" s="19">
        <f>SUM(B11:J11)</f>
        <v>2321.2800000000002</v>
      </c>
      <c r="L11" s="9"/>
      <c r="M11" s="19">
        <f>'C. Salary Allocation'!E11*B16</f>
        <v>0</v>
      </c>
      <c r="N11" s="19">
        <f>'C. Salary Allocation'!F11*B16</f>
        <v>1160.6400000000001</v>
      </c>
      <c r="O11" s="19">
        <f>'C. Salary Allocation'!G11*B16</f>
        <v>0</v>
      </c>
      <c r="P11" s="19">
        <f>'C. Salary Allocation'!H11*B16</f>
        <v>0</v>
      </c>
    </row>
    <row r="12" spans="1:16" x14ac:dyDescent="0.25">
      <c r="A12" s="5" t="s">
        <v>75</v>
      </c>
      <c r="B12" s="5"/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f>0.0775*'C. Salary Allocation'!C13</f>
        <v>1740.96</v>
      </c>
      <c r="K12" s="19">
        <f>SUM(B12:J12)</f>
        <v>1740.96</v>
      </c>
      <c r="L12" s="9"/>
      <c r="M12" s="19">
        <f>'C. Salary Allocation'!E12*B16</f>
        <v>0</v>
      </c>
      <c r="N12" s="19">
        <f>'C. Salary Allocation'!F12*B16</f>
        <v>2321.2800000000002</v>
      </c>
      <c r="O12" s="19">
        <f>'C. Salary Allocation'!G12*B16</f>
        <v>0</v>
      </c>
      <c r="P12" s="19">
        <f>'C. Salary Allocation'!H12*B16</f>
        <v>0</v>
      </c>
    </row>
    <row r="13" spans="1:16" x14ac:dyDescent="0.25">
      <c r="A13" s="5" t="s">
        <v>76</v>
      </c>
      <c r="B13" s="5"/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f>0.0775*'C. Salary Allocation'!C14</f>
        <v>1934.4</v>
      </c>
      <c r="K13" s="19">
        <f>SUM(B13:J13)</f>
        <v>1934.4</v>
      </c>
      <c r="L13" s="9"/>
      <c r="M13" s="38">
        <f>'C. Salary Allocation'!E13*B16</f>
        <v>435.24000000000007</v>
      </c>
      <c r="N13" s="38">
        <f>'C. Salary Allocation'!F13*B16</f>
        <v>435.24000000000007</v>
      </c>
      <c r="O13" s="38">
        <f>'C. Salary Allocation'!G13*B16</f>
        <v>435.24000000000007</v>
      </c>
      <c r="P13" s="38">
        <f>'C. Salary Allocation'!H13*B16</f>
        <v>435.24000000000007</v>
      </c>
    </row>
    <row r="14" spans="1:16" x14ac:dyDescent="0.25">
      <c r="L14" s="6" t="s">
        <v>78</v>
      </c>
      <c r="M14" s="28">
        <f>SUM(M2:M13)</f>
        <v>15696.499615384617</v>
      </c>
      <c r="N14" s="28">
        <f t="shared" ref="N14:P14" si="1">SUM(N2:N13)</f>
        <v>36584.235320512824</v>
      </c>
      <c r="O14" s="28">
        <f t="shared" si="1"/>
        <v>13701.563717948718</v>
      </c>
      <c r="P14" s="28">
        <f t="shared" si="1"/>
        <v>14848.651858974361</v>
      </c>
    </row>
    <row r="15" spans="1:16" x14ac:dyDescent="0.25">
      <c r="A15" s="10" t="s">
        <v>90</v>
      </c>
      <c r="B15" s="37">
        <f>SUM(K2:K8)/'C. Salary Allocation'!C9</f>
        <v>0.19949358974358977</v>
      </c>
      <c r="M15" s="27"/>
    </row>
    <row r="16" spans="1:16" x14ac:dyDescent="0.25">
      <c r="A16" s="10" t="s">
        <v>91</v>
      </c>
      <c r="B16" s="37">
        <f>SUM(K10:K13)/'C. Salary Allocation'!C15</f>
        <v>7.7500000000000013E-2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A. Budget</vt:lpstr>
      <vt:lpstr>B. Personnel Allocation</vt:lpstr>
      <vt:lpstr>C. Salary Allocation</vt:lpstr>
      <vt:lpstr>D. Fringe Allocation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Marin</dc:creator>
  <cp:lastModifiedBy>Paula McElwee</cp:lastModifiedBy>
  <dcterms:created xsi:type="dcterms:W3CDTF">2020-09-30T15:25:12Z</dcterms:created>
  <dcterms:modified xsi:type="dcterms:W3CDTF">2020-09-30T18:42:13Z</dcterms:modified>
</cp:coreProperties>
</file>